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mc:AlternateContent xmlns:mc="http://schemas.openxmlformats.org/markup-compatibility/2006">
    <mc:Choice Requires="x15">
      <x15ac:absPath xmlns:x15ac="http://schemas.microsoft.com/office/spreadsheetml/2010/11/ac" url="https://assacpt-my.sharepoint.com/personal/lrobinson_actuarialsociety_org_za/Documents/Documents/_EBO 2026/A213 marking etc/BOE reporting documents _A213/"/>
    </mc:Choice>
  </mc:AlternateContent>
  <xr:revisionPtr revIDLastSave="0" documentId="10_ncr:8000_{017FA06A-D8F8-4737-94C9-1AF3A7131C06}" xr6:coauthVersionLast="47" xr6:coauthVersionMax="47" xr10:uidLastSave="{00000000-0000-0000-0000-000000000000}"/>
  <bookViews>
    <workbookView xWindow="21795" yWindow="855" windowWidth="17775" windowHeight="13230" tabRatio="500" xr2:uid="{00000000-000D-0000-FFFF-FFFF00000000}"/>
  </bookViews>
  <sheets>
    <sheet name="Cover" sheetId="2" r:id="rId1"/>
    <sheet name="Examiner Comments" sheetId="3" r:id="rId2"/>
    <sheet name="AM92" sheetId="4" r:id="rId3"/>
    <sheet name="Qn 1" sheetId="5" r:id="rId4"/>
    <sheet name="Qn 2" sheetId="6" r:id="rId5"/>
    <sheet name="Qn 3" sheetId="7" r:id="rId6"/>
  </sheets>
  <definedNames>
    <definedName name="Bid_Offer" localSheetId="2">#REF!</definedName>
    <definedName name="Bid_Offer">#REF!</definedName>
    <definedName name="ced" localSheetId="2">#REF!</definedName>
    <definedName name="ced">#REF!</definedName>
    <definedName name="cem" localSheetId="2">#REF!</definedName>
    <definedName name="cem">#REF!</definedName>
    <definedName name="Expense_Inflation">#REF!</definedName>
    <definedName name="f">#REF!</definedName>
    <definedName name="i">#REF!</definedName>
    <definedName name="IC">#REF!</definedName>
    <definedName name="IE">#REF!</definedName>
    <definedName name="Init_Alloc">#REF!</definedName>
    <definedName name="Init_Sv">#REF!</definedName>
    <definedName name="Initial_Exp">#REF!</definedName>
    <definedName name="Int">#REF!</definedName>
    <definedName name="Mng_Charge">#REF!</definedName>
    <definedName name="Non_Unit_Growth">#REF!</definedName>
    <definedName name="P" localSheetId="0">#REF!</definedName>
    <definedName name="P">#REF!</definedName>
    <definedName name="Prem">#REF!</definedName>
    <definedName name="Prem0" localSheetId="0">#REF!</definedName>
    <definedName name="Prem0">#REF!</definedName>
    <definedName name="rc_">#REF!</definedName>
    <definedName name="re">#REF!</definedName>
    <definedName name="Renewal_Exp" localSheetId="2">#REF!</definedName>
    <definedName name="Renewal_Exp">#REF!</definedName>
    <definedName name="RiskDiscRate" localSheetId="2">#REF!</definedName>
    <definedName name="RiskDiscRate">#REF!</definedName>
    <definedName name="S">#REF!</definedName>
    <definedName name="SA">#REF!</definedName>
    <definedName name="Start_Age">#REF!</definedName>
    <definedName name="Subs_All">#REF!</definedName>
    <definedName name="Subs_Sv">#REF!</definedName>
    <definedName name="Sum_Ass">#REF!</definedName>
    <definedName name="Unit_Growth">#REF!</definedName>
    <definedName name="v">#REF!</definedName>
    <definedName name="x">#REF!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38" i="7" l="1"/>
  <c r="I37" i="7"/>
  <c r="I36" i="7"/>
  <c r="J35" i="7"/>
  <c r="I35" i="7"/>
  <c r="I34" i="7"/>
  <c r="I33" i="7"/>
  <c r="I32" i="7"/>
  <c r="I31" i="7"/>
  <c r="F31" i="7"/>
  <c r="C31" i="7"/>
  <c r="C32" i="7" s="1"/>
  <c r="B31" i="7"/>
  <c r="B32" i="7" s="1"/>
  <c r="J30" i="7"/>
  <c r="I30" i="7"/>
  <c r="F30" i="7"/>
  <c r="H30" i="7" s="1"/>
  <c r="E30" i="7"/>
  <c r="G31" i="7" s="1"/>
  <c r="D30" i="7"/>
  <c r="D27" i="7"/>
  <c r="I39" i="7" s="1"/>
  <c r="I22" i="7"/>
  <c r="I21" i="7"/>
  <c r="J20" i="7"/>
  <c r="I20" i="7"/>
  <c r="I19" i="7"/>
  <c r="J18" i="7"/>
  <c r="J19" i="7" s="1"/>
  <c r="J36" i="7" s="1"/>
  <c r="I18" i="7"/>
  <c r="J17" i="7"/>
  <c r="J34" i="7" s="1"/>
  <c r="I17" i="7"/>
  <c r="J16" i="7"/>
  <c r="J33" i="7" s="1"/>
  <c r="I16" i="7"/>
  <c r="E16" i="7"/>
  <c r="C16" i="7"/>
  <c r="C17" i="7" s="1"/>
  <c r="B16" i="7"/>
  <c r="B17" i="7" s="1"/>
  <c r="J15" i="7"/>
  <c r="J32" i="7" s="1"/>
  <c r="I15" i="7"/>
  <c r="J14" i="7"/>
  <c r="J31" i="7" s="1"/>
  <c r="I14" i="7"/>
  <c r="F14" i="7"/>
  <c r="C14" i="7"/>
  <c r="C15" i="7" s="1"/>
  <c r="E15" i="7" s="1"/>
  <c r="B14" i="7"/>
  <c r="B15" i="7" s="1"/>
  <c r="D15" i="7" s="1"/>
  <c r="J13" i="7"/>
  <c r="I13" i="7"/>
  <c r="F13" i="7"/>
  <c r="H13" i="7" s="1"/>
  <c r="E13" i="7"/>
  <c r="G14" i="7" s="1"/>
  <c r="D13" i="7"/>
  <c r="K61" i="6"/>
  <c r="K60" i="6"/>
  <c r="K59" i="6"/>
  <c r="K58" i="6"/>
  <c r="K56" i="6"/>
  <c r="B55" i="6"/>
  <c r="B56" i="6" s="1"/>
  <c r="B57" i="6" s="1"/>
  <c r="B58" i="6" s="1"/>
  <c r="B59" i="6" s="1"/>
  <c r="B60" i="6" s="1"/>
  <c r="B61" i="6" s="1"/>
  <c r="B62" i="6" s="1"/>
  <c r="K54" i="6"/>
  <c r="J54" i="6"/>
  <c r="B54" i="6"/>
  <c r="J53" i="6"/>
  <c r="M45" i="6"/>
  <c r="K62" i="6" s="1"/>
  <c r="F45" i="6"/>
  <c r="E45" i="6"/>
  <c r="M44" i="6"/>
  <c r="E44" i="6"/>
  <c r="M43" i="6"/>
  <c r="E43" i="6"/>
  <c r="M42" i="6"/>
  <c r="E42" i="6"/>
  <c r="D42" i="6"/>
  <c r="M41" i="6"/>
  <c r="E41" i="6"/>
  <c r="M40" i="6"/>
  <c r="K57" i="6" s="1"/>
  <c r="E40" i="6"/>
  <c r="D40" i="6"/>
  <c r="M39" i="6"/>
  <c r="E39" i="6"/>
  <c r="D39" i="6"/>
  <c r="F39" i="6" s="1"/>
  <c r="M38" i="6"/>
  <c r="K55" i="6" s="1"/>
  <c r="E38" i="6"/>
  <c r="M37" i="6"/>
  <c r="K37" i="6"/>
  <c r="E37" i="6"/>
  <c r="D37" i="6"/>
  <c r="B37" i="6"/>
  <c r="B38" i="6" s="1"/>
  <c r="M36" i="6"/>
  <c r="K53" i="6" s="1"/>
  <c r="E36" i="6"/>
  <c r="D36" i="6"/>
  <c r="C36" i="6"/>
  <c r="G53" i="6" s="1"/>
  <c r="C28" i="6"/>
  <c r="B28" i="6"/>
  <c r="D45" i="6" s="1"/>
  <c r="C27" i="6"/>
  <c r="B27" i="6"/>
  <c r="D44" i="6" s="1"/>
  <c r="C26" i="6"/>
  <c r="B26" i="6"/>
  <c r="D43" i="6" s="1"/>
  <c r="C25" i="6"/>
  <c r="B25" i="6"/>
  <c r="C24" i="6"/>
  <c r="B24" i="6"/>
  <c r="D41" i="6" s="1"/>
  <c r="C23" i="6"/>
  <c r="B23" i="6"/>
  <c r="C22" i="6"/>
  <c r="B22" i="6"/>
  <c r="C21" i="6"/>
  <c r="B21" i="6"/>
  <c r="D38" i="6" s="1"/>
  <c r="C20" i="6"/>
  <c r="B20" i="6"/>
  <c r="E19" i="6"/>
  <c r="F19" i="6" s="1"/>
  <c r="I36" i="6" s="1"/>
  <c r="C19" i="6"/>
  <c r="B19" i="6"/>
  <c r="B17" i="5"/>
  <c r="B18" i="5" s="1"/>
  <c r="J16" i="5"/>
  <c r="J15" i="5"/>
  <c r="B15" i="5"/>
  <c r="B16" i="5" s="1"/>
  <c r="C16" i="5" s="1"/>
  <c r="D16" i="5" s="1"/>
  <c r="C14" i="5"/>
  <c r="D14" i="5" s="1"/>
  <c r="F44" i="6" l="1"/>
  <c r="F43" i="6"/>
  <c r="E32" i="7"/>
  <c r="G33" i="7" s="1"/>
  <c r="C33" i="7"/>
  <c r="J17" i="5"/>
  <c r="C18" i="5"/>
  <c r="D18" i="5" s="1"/>
  <c r="B19" i="5"/>
  <c r="F38" i="6"/>
  <c r="F37" i="6"/>
  <c r="H31" i="7"/>
  <c r="G17" i="7"/>
  <c r="D32" i="7"/>
  <c r="F33" i="7" s="1"/>
  <c r="B33" i="7"/>
  <c r="F42" i="6"/>
  <c r="C17" i="5"/>
  <c r="D17" i="5" s="1"/>
  <c r="C18" i="7"/>
  <c r="E17" i="7"/>
  <c r="F41" i="6"/>
  <c r="D31" i="7"/>
  <c r="F32" i="7" s="1"/>
  <c r="E31" i="7"/>
  <c r="G32" i="7" s="1"/>
  <c r="J21" i="7"/>
  <c r="J37" i="7"/>
  <c r="F40" i="6"/>
  <c r="B18" i="7"/>
  <c r="D17" i="7"/>
  <c r="E14" i="5"/>
  <c r="G14" i="5" s="1"/>
  <c r="L14" i="5" s="1"/>
  <c r="C38" i="6"/>
  <c r="G55" i="6" s="1"/>
  <c r="B39" i="6"/>
  <c r="C37" i="6"/>
  <c r="G54" i="6" s="1"/>
  <c r="D16" i="7"/>
  <c r="G19" i="6"/>
  <c r="E16" i="5"/>
  <c r="G16" i="5" s="1"/>
  <c r="C15" i="5"/>
  <c r="D15" i="5" s="1"/>
  <c r="D14" i="7"/>
  <c r="F15" i="7" s="1"/>
  <c r="E14" i="7"/>
  <c r="G15" i="7" s="1"/>
  <c r="G16" i="7" s="1"/>
  <c r="F36" i="6"/>
  <c r="B20" i="5" l="1"/>
  <c r="C19" i="5"/>
  <c r="D19" i="5" s="1"/>
  <c r="B40" i="6"/>
  <c r="C39" i="6"/>
  <c r="G56" i="6" s="1"/>
  <c r="B34" i="7"/>
  <c r="D33" i="7"/>
  <c r="F34" i="7" s="1"/>
  <c r="F14" i="5"/>
  <c r="D18" i="7"/>
  <c r="B19" i="7"/>
  <c r="J22" i="7"/>
  <c r="J39" i="7" s="1"/>
  <c r="J38" i="7"/>
  <c r="J18" i="5"/>
  <c r="K38" i="6"/>
  <c r="H15" i="7"/>
  <c r="F16" i="7"/>
  <c r="H16" i="7" s="1"/>
  <c r="E15" i="5"/>
  <c r="G15" i="5" s="1"/>
  <c r="G18" i="7"/>
  <c r="G36" i="6"/>
  <c r="H36" i="6" s="1"/>
  <c r="J36" i="6" s="1"/>
  <c r="D20" i="6"/>
  <c r="E20" i="6" s="1"/>
  <c r="E18" i="7"/>
  <c r="G19" i="7" s="1"/>
  <c r="C19" i="7"/>
  <c r="E18" i="5"/>
  <c r="G18" i="5" s="1"/>
  <c r="H14" i="7"/>
  <c r="C34" i="7"/>
  <c r="E33" i="7"/>
  <c r="G34" i="7" s="1"/>
  <c r="H32" i="7"/>
  <c r="F16" i="5"/>
  <c r="H16" i="5" s="1"/>
  <c r="F17" i="7"/>
  <c r="H17" i="7" s="1"/>
  <c r="E17" i="5"/>
  <c r="G17" i="5" s="1"/>
  <c r="L36" i="6" l="1"/>
  <c r="N36" i="6" s="1"/>
  <c r="D53" i="6"/>
  <c r="F20" i="6"/>
  <c r="I37" i="6" s="1"/>
  <c r="G20" i="6"/>
  <c r="K39" i="6"/>
  <c r="J55" i="6"/>
  <c r="F17" i="5"/>
  <c r="H17" i="5" s="1"/>
  <c r="J19" i="5"/>
  <c r="B20" i="7"/>
  <c r="D19" i="7"/>
  <c r="K14" i="5"/>
  <c r="H14" i="5"/>
  <c r="I15" i="5" s="1"/>
  <c r="B35" i="7"/>
  <c r="D34" i="7"/>
  <c r="F35" i="7" s="1"/>
  <c r="E19" i="5"/>
  <c r="G19" i="5" s="1"/>
  <c r="F15" i="5"/>
  <c r="H15" i="5" s="1"/>
  <c r="E34" i="7"/>
  <c r="G35" i="7" s="1"/>
  <c r="C35" i="7"/>
  <c r="H33" i="7"/>
  <c r="F18" i="5"/>
  <c r="H18" i="5" s="1"/>
  <c r="F18" i="7"/>
  <c r="H18" i="7" s="1"/>
  <c r="C40" i="6"/>
  <c r="G57" i="6" s="1"/>
  <c r="B41" i="6"/>
  <c r="C20" i="7"/>
  <c r="E19" i="7"/>
  <c r="G20" i="7" s="1"/>
  <c r="C20" i="5"/>
  <c r="D20" i="5" s="1"/>
  <c r="B21" i="5"/>
  <c r="D35" i="7" l="1"/>
  <c r="F36" i="7" s="1"/>
  <c r="B36" i="7"/>
  <c r="K15" i="5"/>
  <c r="I16" i="5"/>
  <c r="F20" i="7"/>
  <c r="B22" i="5"/>
  <c r="C21" i="5"/>
  <c r="D21" i="5" s="1"/>
  <c r="E20" i="5"/>
  <c r="G20" i="5" s="1"/>
  <c r="E20" i="7"/>
  <c r="G21" i="7" s="1"/>
  <c r="C21" i="7"/>
  <c r="C41" i="6"/>
  <c r="G58" i="6" s="1"/>
  <c r="B42" i="6"/>
  <c r="K40" i="6"/>
  <c r="J56" i="6"/>
  <c r="D21" i="6"/>
  <c r="E21" i="6" s="1"/>
  <c r="G37" i="6"/>
  <c r="H37" i="6" s="1"/>
  <c r="J37" i="6" s="1"/>
  <c r="H34" i="7"/>
  <c r="C36" i="7"/>
  <c r="E35" i="7"/>
  <c r="G36" i="7" s="1"/>
  <c r="F19" i="7"/>
  <c r="H19" i="7" s="1"/>
  <c r="F19" i="5"/>
  <c r="H19" i="5" s="1"/>
  <c r="D20" i="7"/>
  <c r="B21" i="7"/>
  <c r="J20" i="5"/>
  <c r="L15" i="5"/>
  <c r="H20" i="7" l="1"/>
  <c r="K41" i="6"/>
  <c r="J57" i="6"/>
  <c r="B43" i="6"/>
  <c r="C42" i="6"/>
  <c r="G59" i="6" s="1"/>
  <c r="F20" i="5"/>
  <c r="H20" i="5" s="1"/>
  <c r="C22" i="5"/>
  <c r="D22" i="5" s="1"/>
  <c r="B23" i="5"/>
  <c r="C23" i="5" s="1"/>
  <c r="D23" i="5" s="1"/>
  <c r="E21" i="5"/>
  <c r="G21" i="5" s="1"/>
  <c r="B22" i="7"/>
  <c r="D22" i="7" s="1"/>
  <c r="D21" i="7"/>
  <c r="F22" i="7" s="1"/>
  <c r="H22" i="7" s="1"/>
  <c r="B37" i="7"/>
  <c r="D36" i="7"/>
  <c r="F37" i="7" s="1"/>
  <c r="H36" i="7"/>
  <c r="F21" i="6"/>
  <c r="I38" i="6" s="1"/>
  <c r="J21" i="5"/>
  <c r="F21" i="7"/>
  <c r="I17" i="5"/>
  <c r="K16" i="5"/>
  <c r="L16" i="5"/>
  <c r="C37" i="7"/>
  <c r="E36" i="7"/>
  <c r="G37" i="7" s="1"/>
  <c r="H35" i="7"/>
  <c r="C22" i="7"/>
  <c r="E22" i="7" s="1"/>
  <c r="E21" i="7"/>
  <c r="G22" i="7" s="1"/>
  <c r="D54" i="6"/>
  <c r="L37" i="6"/>
  <c r="N37" i="6" s="1"/>
  <c r="F21" i="5" l="1"/>
  <c r="H21" i="5" s="1"/>
  <c r="E22" i="5"/>
  <c r="G22" i="5" s="1"/>
  <c r="G21" i="6"/>
  <c r="D37" i="7"/>
  <c r="F38" i="7" s="1"/>
  <c r="B38" i="7"/>
  <c r="E23" i="5"/>
  <c r="G23" i="5" s="1"/>
  <c r="F23" i="5"/>
  <c r="H23" i="5" s="1"/>
  <c r="C43" i="6"/>
  <c r="G60" i="6" s="1"/>
  <c r="B44" i="6"/>
  <c r="E37" i="7"/>
  <c r="G38" i="7" s="1"/>
  <c r="C38" i="7"/>
  <c r="K42" i="6"/>
  <c r="J58" i="6"/>
  <c r="K17" i="5"/>
  <c r="I18" i="5"/>
  <c r="L17" i="5"/>
  <c r="H21" i="7"/>
  <c r="O12" i="7" s="1"/>
  <c r="J22" i="5"/>
  <c r="B39" i="7" l="1"/>
  <c r="D39" i="7" s="1"/>
  <c r="D38" i="7"/>
  <c r="F39" i="7" s="1"/>
  <c r="K43" i="6"/>
  <c r="J59" i="6"/>
  <c r="C39" i="7"/>
  <c r="E39" i="7" s="1"/>
  <c r="E38" i="7"/>
  <c r="G39" i="7" s="1"/>
  <c r="G38" i="6"/>
  <c r="H38" i="6" s="1"/>
  <c r="J38" i="6" s="1"/>
  <c r="D22" i="6"/>
  <c r="E22" i="6" s="1"/>
  <c r="F22" i="5"/>
  <c r="H22" i="5" s="1"/>
  <c r="H37" i="7"/>
  <c r="H38" i="7"/>
  <c r="J23" i="5"/>
  <c r="B45" i="6"/>
  <c r="C45" i="6" s="1"/>
  <c r="G62" i="6" s="1"/>
  <c r="H62" i="6" s="1"/>
  <c r="C44" i="6"/>
  <c r="G61" i="6" s="1"/>
  <c r="K18" i="5"/>
  <c r="I19" i="5"/>
  <c r="L18" i="5"/>
  <c r="K19" i="5" l="1"/>
  <c r="I20" i="5"/>
  <c r="L19" i="5"/>
  <c r="J24" i="5"/>
  <c r="G22" i="6"/>
  <c r="F22" i="6"/>
  <c r="I39" i="6" s="1"/>
  <c r="H39" i="7"/>
  <c r="O29" i="7" s="1"/>
  <c r="O31" i="7" s="1"/>
  <c r="D55" i="6"/>
  <c r="L38" i="6"/>
  <c r="N38" i="6" s="1"/>
  <c r="J60" i="6"/>
  <c r="K44" i="6"/>
  <c r="K45" i="6" l="1"/>
  <c r="J61" i="6"/>
  <c r="D23" i="6"/>
  <c r="E23" i="6" s="1"/>
  <c r="G39" i="6"/>
  <c r="H39" i="6" s="1"/>
  <c r="J39" i="6" s="1"/>
  <c r="K20" i="5"/>
  <c r="I21" i="5"/>
  <c r="L20" i="5"/>
  <c r="K21" i="5" l="1"/>
  <c r="I22" i="5"/>
  <c r="L21" i="5"/>
  <c r="D56" i="6"/>
  <c r="L39" i="6"/>
  <c r="N39" i="6" s="1"/>
  <c r="F23" i="6"/>
  <c r="I40" i="6" s="1"/>
  <c r="J62" i="6"/>
  <c r="I23" i="5" l="1"/>
  <c r="K22" i="5"/>
  <c r="L22" i="5"/>
  <c r="G23" i="6"/>
  <c r="D24" i="6" l="1"/>
  <c r="E24" i="6" s="1"/>
  <c r="G40" i="6"/>
  <c r="H40" i="6" s="1"/>
  <c r="J40" i="6" s="1"/>
  <c r="K23" i="5"/>
  <c r="I24" i="5"/>
  <c r="M23" i="5" s="1"/>
  <c r="R13" i="5"/>
  <c r="L23" i="5"/>
  <c r="E11" i="5" l="1"/>
  <c r="D57" i="6"/>
  <c r="L40" i="6"/>
  <c r="N40" i="6" s="1"/>
  <c r="F24" i="6"/>
  <c r="I41" i="6" s="1"/>
  <c r="G24" i="6"/>
  <c r="G41" i="6" l="1"/>
  <c r="H41" i="6" s="1"/>
  <c r="J41" i="6" s="1"/>
  <c r="D25" i="6"/>
  <c r="E25" i="6" s="1"/>
  <c r="R17" i="5"/>
  <c r="R15" i="5"/>
  <c r="F25" i="6" l="1"/>
  <c r="I42" i="6" s="1"/>
  <c r="D58" i="6"/>
  <c r="L41" i="6"/>
  <c r="N41" i="6" s="1"/>
  <c r="G25" i="6" l="1"/>
  <c r="D26" i="6" l="1"/>
  <c r="E26" i="6" s="1"/>
  <c r="G42" i="6"/>
  <c r="H42" i="6" s="1"/>
  <c r="J42" i="6" s="1"/>
  <c r="D59" i="6" l="1"/>
  <c r="L42" i="6"/>
  <c r="N42" i="6" s="1"/>
  <c r="F26" i="6"/>
  <c r="I43" i="6" s="1"/>
  <c r="G26" i="6"/>
  <c r="G43" i="6" l="1"/>
  <c r="H43" i="6" s="1"/>
  <c r="J43" i="6" s="1"/>
  <c r="D27" i="6"/>
  <c r="E27" i="6" s="1"/>
  <c r="F27" i="6" l="1"/>
  <c r="I44" i="6" s="1"/>
  <c r="D60" i="6"/>
  <c r="L43" i="6"/>
  <c r="N43" i="6" s="1"/>
  <c r="G27" i="6" l="1"/>
  <c r="D28" i="6" l="1"/>
  <c r="E28" i="6" s="1"/>
  <c r="G44" i="6"/>
  <c r="H44" i="6" s="1"/>
  <c r="J44" i="6" s="1"/>
  <c r="D61" i="6" l="1"/>
  <c r="L44" i="6"/>
  <c r="N44" i="6" s="1"/>
  <c r="F28" i="6"/>
  <c r="I45" i="6" s="1"/>
  <c r="G28" i="6" l="1"/>
  <c r="G45" i="6" s="1"/>
  <c r="H45" i="6" s="1"/>
  <c r="J45" i="6" s="1"/>
  <c r="D62" i="6" l="1"/>
  <c r="L45" i="6"/>
  <c r="N45" i="6" s="1"/>
  <c r="D33" i="6" s="1"/>
  <c r="E62" i="6" l="1"/>
  <c r="F62" i="6" l="1"/>
  <c r="I62" i="6" s="1"/>
  <c r="L62" i="6" s="1"/>
  <c r="H61" i="6"/>
  <c r="E61" i="6" s="1"/>
  <c r="H60" i="6" l="1"/>
  <c r="E60" i="6" s="1"/>
  <c r="F61" i="6"/>
  <c r="I61" i="6"/>
  <c r="L61" i="6" s="1"/>
  <c r="F60" i="6" l="1"/>
  <c r="H59" i="6"/>
  <c r="E59" i="6" s="1"/>
  <c r="I60" i="6"/>
  <c r="L60" i="6" s="1"/>
  <c r="H58" i="6" l="1"/>
  <c r="E58" i="6" s="1"/>
  <c r="F59" i="6"/>
  <c r="I59" i="6" s="1"/>
  <c r="L59" i="6" s="1"/>
  <c r="F58" i="6" l="1"/>
  <c r="I58" i="6" s="1"/>
  <c r="L58" i="6" s="1"/>
  <c r="H57" i="6"/>
  <c r="E57" i="6" s="1"/>
  <c r="H56" i="6" l="1"/>
  <c r="E56" i="6" s="1"/>
  <c r="F57" i="6"/>
  <c r="I57" i="6"/>
  <c r="L57" i="6" s="1"/>
  <c r="F56" i="6" l="1"/>
  <c r="H55" i="6"/>
  <c r="E55" i="6" s="1"/>
  <c r="I56" i="6"/>
  <c r="L56" i="6" s="1"/>
  <c r="F55" i="6" l="1"/>
  <c r="H54" i="6"/>
  <c r="E54" i="6" s="1"/>
  <c r="I55" i="6"/>
  <c r="L55" i="6" s="1"/>
  <c r="H53" i="6" l="1"/>
  <c r="E53" i="6" s="1"/>
  <c r="F54" i="6"/>
  <c r="I54" i="6"/>
  <c r="L54" i="6" s="1"/>
  <c r="F53" i="6" l="1"/>
  <c r="I53" i="6"/>
  <c r="L53" i="6" s="1"/>
  <c r="D50" i="6" s="1"/>
</calcChain>
</file>

<file path=xl/sharedStrings.xml><?xml version="1.0" encoding="utf-8"?>
<sst xmlns="http://schemas.openxmlformats.org/spreadsheetml/2006/main" count="135" uniqueCount="104">
  <si>
    <t>COMPUTER BASED EXAMINATION</t>
  </si>
  <si>
    <t>Subject A213 — Contingencies</t>
  </si>
  <si>
    <t>Exam Sample Solution</t>
  </si>
  <si>
    <t>Candidate number</t>
  </si>
  <si>
    <t>Complete these coloured cells</t>
  </si>
  <si>
    <t>Adjust these coloured cells for headings</t>
  </si>
  <si>
    <t>Examiner Comments:</t>
  </si>
  <si>
    <t>Candidates performed satisfactorily across the computer-based assessment, and most were able to complete the core valuation work. As in previous sittings, the parts requiring application, interpretation or discussion were generally answered less well than those calling for straightforward computation. Performance was reasonably consistent across the three questions, with Question 2 (the unit-linked profit test and zeroisation) answered slightly better than Questions 1 and 3. Question 1, the three-state accelerated-benefit model, produced the widest spread of marks, with the constant-force set-up and the discussion parts causing the most difficulty. The overall standard achieved in the CBA was satisfactory for this examination session.</t>
  </si>
  <si>
    <t>Average performance was ~65% for the CBA paper.</t>
  </si>
  <si>
    <t>Permanent Assurances, males, combined - AM92 two years select: values of q[x-t]+t</t>
  </si>
  <si>
    <t>Age x</t>
  </si>
  <si>
    <t>q[x]</t>
  </si>
  <si>
    <t>q[x-1]+1</t>
  </si>
  <si>
    <t>qx</t>
  </si>
  <si>
    <t>Question 1</t>
  </si>
  <si>
    <t>Death benefit</t>
  </si>
  <si>
    <t>Accelerated benefit</t>
  </si>
  <si>
    <t>Maturity benefit</t>
  </si>
  <si>
    <t>Interest</t>
  </si>
  <si>
    <t>Question 1 (i)</t>
  </si>
  <si>
    <t>Total value of the benefits</t>
  </si>
  <si>
    <t>Year</t>
  </si>
  <si>
    <t>Age</t>
  </si>
  <si>
    <t>qx dth AM92</t>
  </si>
  <si>
    <t>force of dth</t>
  </si>
  <si>
    <t>Force of diagnoses</t>
  </si>
  <si>
    <t>(aq)x dth</t>
  </si>
  <si>
    <t>(aq)x diagn</t>
  </si>
  <si>
    <t>(ap)x</t>
  </si>
  <si>
    <t>t(ap)x</t>
  </si>
  <si>
    <t>Discounting</t>
  </si>
  <si>
    <t>Value of dth ben</t>
  </si>
  <si>
    <t>Value of acc ben</t>
  </si>
  <si>
    <t>Value of mat ben</t>
  </si>
  <si>
    <t>Present value of premium of 1 per annum</t>
  </si>
  <si>
    <t>Premium with maturity benefit</t>
  </si>
  <si>
    <t>ii)</t>
  </si>
  <si>
    <t>Premium without maturity benefit</t>
  </si>
  <si>
    <t>Question 1 (iii)</t>
  </si>
  <si>
    <t>It will depend on what the policyholder needs the policy for.  The version with the maturity benefit is very expensive and a person who just needs the death cover may prefer the second version.  A person wanting to save (mainly) may prefer the first version, but will likley want  a much smaller policy. Few people may be interested in buying the bigger policy due to the cost.</t>
  </si>
  <si>
    <t>Question 1 (iv)</t>
  </si>
  <si>
    <t>The current structure may not meet the needs of the policyholders.  The large increase in the benefit on death may have policyholders rather wait for either the death benefit or the maturity benefit (if they can).  There will be a cost for the additional benefit, but the new policy should only be a little more expensive than a policy without the accelerated benefit.</t>
  </si>
  <si>
    <t>Question 2</t>
  </si>
  <si>
    <t>Premium</t>
  </si>
  <si>
    <t>Allocation rate in first year</t>
  </si>
  <si>
    <t>Allocation rate in subsequent years</t>
  </si>
  <si>
    <t>Bid offer spread</t>
  </si>
  <si>
    <t>Management fees</t>
  </si>
  <si>
    <t>Initial expense</t>
  </si>
  <si>
    <t>Renewal expense</t>
  </si>
  <si>
    <t>from second policy anniversary</t>
  </si>
  <si>
    <t>Unit fund growth rate</t>
  </si>
  <si>
    <t>Non-unit fund growth rate</t>
  </si>
  <si>
    <t>Risk discount rate</t>
  </si>
  <si>
    <t>times the unit fund</t>
  </si>
  <si>
    <t>Question 2 (i)</t>
  </si>
  <si>
    <t>Cost of allocation</t>
  </si>
  <si>
    <t>Opening fund</t>
  </si>
  <si>
    <t>Fund with inv return</t>
  </si>
  <si>
    <t>Management charge</t>
  </si>
  <si>
    <t>Fund at end</t>
  </si>
  <si>
    <t>Net present value</t>
  </si>
  <si>
    <t>Premium - cost of allocation</t>
  </si>
  <si>
    <t>Expenses</t>
  </si>
  <si>
    <t>Cost of death benefits</t>
  </si>
  <si>
    <t>Profit vector</t>
  </si>
  <si>
    <t>P(in force)</t>
  </si>
  <si>
    <t>Profit signature</t>
  </si>
  <si>
    <t>discount factor</t>
  </si>
  <si>
    <t>NPV</t>
  </si>
  <si>
    <t>Question 2 (ii)</t>
  </si>
  <si>
    <t>Original profit vector</t>
  </si>
  <si>
    <t>Reserve at start of the year</t>
  </si>
  <si>
    <t>Interest on reserve</t>
  </si>
  <si>
    <t>P(in force over the year)</t>
  </si>
  <si>
    <t>Cost of year end reserve</t>
  </si>
  <si>
    <t>Revised profit vector</t>
  </si>
  <si>
    <t>Question 2 (iii)</t>
  </si>
  <si>
    <t>The company will set up reserves (zeroize the cashflows) to ensure that they have funds in later years to meet their commitments.  If they do not set aside the funds, they may consider them as profits and declare dividends from them.</t>
  </si>
  <si>
    <t>Question 3</t>
  </si>
  <si>
    <t>Assumptions and Parameters</t>
  </si>
  <si>
    <t xml:space="preserve">Interest rate: </t>
  </si>
  <si>
    <t>Initial sum assured</t>
  </si>
  <si>
    <t>Reduction in sum assured</t>
  </si>
  <si>
    <t>Question 3 (i)</t>
  </si>
  <si>
    <t>Male age (x+t)</t>
  </si>
  <si>
    <t>Female age (y+t)</t>
  </si>
  <si>
    <t>qx+t</t>
  </si>
  <si>
    <t>qy+t</t>
  </si>
  <si>
    <t>tpx</t>
  </si>
  <si>
    <t>tpy</t>
  </si>
  <si>
    <t>t|qxy</t>
  </si>
  <si>
    <t>v^t</t>
  </si>
  <si>
    <t>Benefit</t>
  </si>
  <si>
    <t>Expected present value of benefit</t>
  </si>
  <si>
    <t>Question 3 (ii)</t>
  </si>
  <si>
    <t>Revised interest rate</t>
  </si>
  <si>
    <t>v^2t</t>
  </si>
  <si>
    <t>Benefit^2</t>
  </si>
  <si>
    <t>Expected present value of X^2</t>
  </si>
  <si>
    <t>Variance</t>
  </si>
  <si>
    <t>Question 3 (iii)</t>
  </si>
  <si>
    <t>In practice this is often not the case.  However, it makes the math more manageable and the effect is small</t>
  </si>
  <si>
    <t>Allowing premiums to be paid in arrears, essentially provides cover for the first year for free as the company will have to pay benefits if a policyholder dies without having received a premium.  Furthermore, the initial benefits are more than the later benefits leading to a similar problem.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</si>
</sst>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 #,##0.00_ ;_ * \-#,##0.00_ ;_ * \-??_ ;_ @_ "/>
    <numFmt numFmtId="165" formatCode="_(* #,##0.00_);_(* \(#,##0.00\);_(* \-??_);_(@_)"/>
    <numFmt numFmtId="166" formatCode="_-\£* #,##0.00_-;&quot;-£&quot;* #,##0.00_-;_-\£* \-??_-;_-@_-"/>
    <numFmt numFmtId="167" formatCode="_(\$* #,##0.00_);_(\$* \(#,##0.00\);_(\$* \-??_);_(@_)"/>
    <numFmt numFmtId="168" formatCode="0.000000"/>
    <numFmt numFmtId="169" formatCode="_-* #,##0_-;\-* #,##0_-;_-* \-??_-;_-@_-"/>
    <numFmt numFmtId="170" formatCode="0.0%"/>
    <numFmt numFmtId="171" formatCode="_-* #,##0.00_-;\-* #,##0.00_-;_-* \-??_-;_-@_-"/>
    <numFmt numFmtId="172" formatCode="_-* #,##0.0000_-;\-* #,##0.0000_-;_-* \-??_-;_-@_-"/>
    <numFmt numFmtId="173" formatCode="_-* #,##0.00000_-;\-* #,##0.00000_-;_-* \-??_-;_-@_-"/>
    <numFmt numFmtId="174" formatCode="_-* #,##0.000000_-;\-* #,##0.000000_-;_-* \-??_-;_-@_-"/>
    <numFmt numFmtId="175" formatCode="_-* #,##0.0_-;\-* #,##0.0_-;_-* \-??_-;_-@_-"/>
    <numFmt numFmtId="176" formatCode="_-* #,##0.00_-;\-* #,##0.00_-;_-* \-????_-;_-@_-"/>
    <numFmt numFmtId="177" formatCode="_ * #,##0_ ;_ * \-#,##0_ ;_ * \-??_ ;_ @_ "/>
    <numFmt numFmtId="178" formatCode="_ * #,##0.0000_ ;_ * \-#,##0.0000_ ;_ * \-??_ ;_ @_ "/>
  </numFmts>
  <fonts count="25">
    <font>
      <sz val="11"/>
      <color theme="1"/>
      <name val="Calibri"/>
      <family val="2"/>
      <charset val="1"/>
    </font>
    <font>
      <sz val="10"/>
      <name val="Arial"/>
      <family val="2"/>
      <charset val="1"/>
    </font>
    <font>
      <b/>
      <sz val="20"/>
      <color rgb="FF000000"/>
      <name val="Times New Roman"/>
      <family val="1"/>
      <charset val="1"/>
    </font>
    <font>
      <sz val="15"/>
      <color rgb="FF000000"/>
      <name val="Times New Roman"/>
      <family val="1"/>
      <charset val="1"/>
    </font>
    <font>
      <sz val="20"/>
      <color rgb="FF000000"/>
      <name val="Times New Roman"/>
      <family val="1"/>
      <charset val="1"/>
    </font>
    <font>
      <b/>
      <sz val="17"/>
      <color rgb="FF000000"/>
      <name val="Times New Roman"/>
      <family val="1"/>
      <charset val="1"/>
    </font>
    <font>
      <b/>
      <sz val="18"/>
      <color rgb="FF000000"/>
      <name val="Times New Roman"/>
      <family val="1"/>
      <charset val="1"/>
    </font>
    <font>
      <b/>
      <sz val="11"/>
      <color theme="1"/>
      <name val="Calibri"/>
      <family val="2"/>
      <charset val="1"/>
    </font>
    <font>
      <sz val="14"/>
      <color rgb="FFC00000"/>
      <name val="Arial"/>
      <family val="2"/>
      <charset val="1"/>
    </font>
    <font>
      <sz val="12"/>
      <color rgb="FFC00000"/>
      <name val="Arial"/>
      <family val="2"/>
      <charset val="1"/>
    </font>
    <font>
      <b/>
      <sz val="26"/>
      <color rgb="FFC00000"/>
      <name val="Arial"/>
      <family val="2"/>
      <charset val="1"/>
    </font>
    <font>
      <b/>
      <sz val="11"/>
      <color rgb="FFFF0000"/>
      <name val="Calibri"/>
      <family val="2"/>
      <charset val="1"/>
    </font>
    <font>
      <sz val="11"/>
      <color rgb="FFFF0000"/>
      <name val="Calibri"/>
      <family val="2"/>
      <charset val="1"/>
    </font>
    <font>
      <sz val="14"/>
      <color rgb="FFFF0000"/>
      <name val="Calibri"/>
      <family val="2"/>
      <charset val="1"/>
    </font>
    <font>
      <sz val="11"/>
      <color theme="1"/>
      <name val="Arial"/>
      <family val="2"/>
      <charset val="1"/>
    </font>
    <font>
      <b/>
      <sz val="16"/>
      <color rgb="FFC00000"/>
      <name val="Calibri"/>
      <family val="2"/>
      <charset val="1"/>
    </font>
    <font>
      <sz val="12"/>
      <name val="Calibri"/>
      <family val="2"/>
      <charset val="1"/>
    </font>
    <font>
      <b/>
      <sz val="14"/>
      <color rgb="FFFF0000"/>
      <name val="Calibri"/>
      <family val="2"/>
      <charset val="1"/>
    </font>
    <font>
      <b/>
      <sz val="12"/>
      <color rgb="FFFF0000"/>
      <name val="Calibri"/>
      <family val="2"/>
      <charset val="1"/>
    </font>
    <font>
      <sz val="12"/>
      <color theme="1"/>
      <name val="Calibri"/>
      <family val="2"/>
      <charset val="1"/>
    </font>
    <font>
      <sz val="11"/>
      <color theme="1"/>
      <name val="Calibri"/>
      <family val="2"/>
      <charset val="1"/>
    </font>
    <font>
      <b/>
      <i/>
      <sz val="16"/>
      <color theme="1"/>
      <name val="Calibri"/>
      <family val="2"/>
    </font>
    <font>
      <i/>
      <sz val="11"/>
      <color theme="1"/>
      <name val="Calibri"/>
      <family val="2"/>
    </font>
    <font>
      <i/>
      <sz val="11"/>
      <name val="Calibri"/>
      <family val="2"/>
    </font>
    <font>
      <i/>
      <sz val="11"/>
      <color theme="0" tint="-0.249977111117893"/>
      <name val="Calibri"/>
      <family val="2"/>
    </font>
  </fonts>
  <fills count="6">
    <fill>
      <patternFill patternType="none"/>
    </fill>
    <fill>
      <patternFill patternType="gray125"/>
    </fill>
    <fill>
      <patternFill patternType="solid">
        <fgColor rgb="FFFCD5B4"/>
        <bgColor rgb="FFD9E1F2"/>
      </patternFill>
    </fill>
    <fill>
      <patternFill patternType="solid">
        <fgColor rgb="FFB7DEE8"/>
        <bgColor rgb="FFD9E1F2"/>
      </patternFill>
    </fill>
    <fill>
      <patternFill patternType="solid">
        <fgColor theme="0"/>
        <bgColor rgb="FFFFFFCC"/>
      </patternFill>
    </fill>
    <fill>
      <patternFill patternType="solid">
        <fgColor rgb="FFFFFF00"/>
        <bgColor rgb="FFFFFF00"/>
      </patternFill>
    </fill>
  </fills>
  <borders count="5">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s>
  <cellStyleXfs count="10">
    <xf numFmtId="0" fontId="0" fillId="0" borderId="0"/>
    <xf numFmtId="165" fontId="20" fillId="0" borderId="0"/>
    <xf numFmtId="9" fontId="20" fillId="0" borderId="0"/>
    <xf numFmtId="164" fontId="20" fillId="0" borderId="0"/>
    <xf numFmtId="165" fontId="20" fillId="0" borderId="0"/>
    <xf numFmtId="165" fontId="20" fillId="0" borderId="0"/>
    <xf numFmtId="166" fontId="20" fillId="0" borderId="0"/>
    <xf numFmtId="167" fontId="20" fillId="0" borderId="0"/>
    <xf numFmtId="167" fontId="20" fillId="0" borderId="0"/>
    <xf numFmtId="0" fontId="1" fillId="0" borderId="0"/>
  </cellStyleXfs>
  <cellXfs count="86">
    <xf numFmtId="0" fontId="0" fillId="0" borderId="0" xfId="0"/>
    <xf numFmtId="0" fontId="7" fillId="3" borderId="2" xfId="0" applyFont="1" applyFill="1" applyBorder="1" applyAlignment="1">
      <alignment horizontal="left" vertical="center"/>
    </xf>
    <xf numFmtId="0" fontId="7" fillId="3"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17" fontId="4" fillId="0" borderId="0" xfId="0" applyNumberFormat="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left" vertical="center"/>
    </xf>
    <xf numFmtId="0" fontId="1" fillId="0" borderId="0" xfId="9"/>
    <xf numFmtId="0" fontId="9" fillId="0" borderId="0" xfId="9" applyFont="1"/>
    <xf numFmtId="0" fontId="9" fillId="0" borderId="0" xfId="9" applyFont="1" applyAlignment="1">
      <alignment horizontal="center"/>
    </xf>
    <xf numFmtId="0" fontId="1" fillId="0" borderId="0" xfId="9" applyAlignment="1">
      <alignment horizontal="center"/>
    </xf>
    <xf numFmtId="168" fontId="1" fillId="0" borderId="0" xfId="9" applyNumberFormat="1" applyAlignment="1">
      <alignment horizontal="center"/>
    </xf>
    <xf numFmtId="0" fontId="10" fillId="0" borderId="0" xfId="0" applyFont="1"/>
    <xf numFmtId="169" fontId="20" fillId="2" borderId="2" xfId="1" applyNumberFormat="1" applyFill="1" applyBorder="1" applyAlignment="1">
      <alignment horizontal="right" vertical="center" wrapText="1"/>
    </xf>
    <xf numFmtId="170" fontId="20" fillId="2" borderId="2" xfId="2" applyNumberFormat="1" applyFill="1" applyBorder="1" applyAlignment="1">
      <alignment horizontal="right" vertical="center" wrapText="1"/>
    </xf>
    <xf numFmtId="171" fontId="20" fillId="2" borderId="2" xfId="1" applyNumberFormat="1" applyFill="1" applyBorder="1" applyAlignment="1">
      <alignment horizontal="center" vertical="center" wrapText="1"/>
    </xf>
    <xf numFmtId="0" fontId="11" fillId="0" borderId="0" xfId="0" applyFont="1" applyAlignment="1">
      <alignment horizontal="center" vertical="center"/>
    </xf>
    <xf numFmtId="0" fontId="11" fillId="0" borderId="0" xfId="0" applyFont="1"/>
    <xf numFmtId="172" fontId="20" fillId="2" borderId="2" xfId="1" applyNumberFormat="1" applyFill="1" applyBorder="1" applyAlignment="1">
      <alignment horizontal="center" vertical="center" wrapText="1"/>
    </xf>
    <xf numFmtId="0" fontId="0" fillId="0" borderId="2" xfId="0" applyBorder="1"/>
    <xf numFmtId="169" fontId="0" fillId="0" borderId="2" xfId="0" applyNumberFormat="1" applyBorder="1"/>
    <xf numFmtId="173" fontId="20" fillId="2" borderId="2" xfId="1" applyNumberFormat="1" applyFill="1" applyBorder="1" applyAlignment="1">
      <alignment horizontal="center" vertical="center" wrapText="1"/>
    </xf>
    <xf numFmtId="174" fontId="20" fillId="0" borderId="0" xfId="1" applyNumberFormat="1" applyAlignment="1">
      <alignment horizontal="center" vertical="center" wrapText="1"/>
    </xf>
    <xf numFmtId="169" fontId="20" fillId="0" borderId="0" xfId="1" applyNumberFormat="1" applyAlignment="1">
      <alignment horizontal="center" vertical="center" wrapText="1"/>
    </xf>
    <xf numFmtId="173" fontId="20" fillId="0" borderId="0" xfId="1" applyNumberFormat="1" applyAlignment="1">
      <alignment horizontal="center" vertical="center" wrapText="1"/>
    </xf>
    <xf numFmtId="172" fontId="20" fillId="0" borderId="0" xfId="1" applyNumberFormat="1" applyAlignment="1">
      <alignment horizontal="center" vertical="center" wrapText="1"/>
    </xf>
    <xf numFmtId="172" fontId="20" fillId="0" borderId="0" xfId="1" applyNumberFormat="1" applyAlignment="1">
      <alignment horizontal="left" vertical="center" wrapText="1" indent="1"/>
    </xf>
    <xf numFmtId="0" fontId="12" fillId="0" borderId="0" xfId="0" applyFont="1"/>
    <xf numFmtId="0" fontId="13" fillId="0" borderId="0" xfId="0" applyFont="1"/>
    <xf numFmtId="9" fontId="20" fillId="2" borderId="2" xfId="2" applyFill="1" applyBorder="1" applyAlignment="1">
      <alignment horizontal="right" vertical="center" wrapText="1"/>
    </xf>
    <xf numFmtId="169" fontId="20" fillId="2" borderId="3" xfId="1" applyNumberFormat="1" applyFill="1" applyBorder="1" applyAlignment="1">
      <alignment horizontal="right" vertical="center" wrapText="1"/>
    </xf>
    <xf numFmtId="175" fontId="20" fillId="2" borderId="2" xfId="1" applyNumberFormat="1" applyFill="1" applyBorder="1" applyAlignment="1">
      <alignment horizontal="right" vertical="center" wrapText="1"/>
    </xf>
    <xf numFmtId="169" fontId="20" fillId="2" borderId="2" xfId="1" applyNumberFormat="1" applyFill="1" applyBorder="1" applyAlignment="1">
      <alignment horizontal="center" vertical="center" wrapText="1"/>
    </xf>
    <xf numFmtId="0" fontId="11" fillId="0" borderId="0" xfId="0" applyFont="1" applyAlignment="1">
      <alignment horizontal="left" vertical="center"/>
    </xf>
    <xf numFmtId="174" fontId="20" fillId="2" borderId="2" xfId="1" applyNumberFormat="1" applyFill="1" applyBorder="1" applyAlignment="1">
      <alignment horizontal="center" vertical="center" wrapText="1"/>
    </xf>
    <xf numFmtId="0" fontId="11" fillId="0" borderId="0" xfId="0" applyFont="1" applyAlignment="1">
      <alignment horizontal="center"/>
    </xf>
    <xf numFmtId="0" fontId="7" fillId="3" borderId="3" xfId="0" applyFont="1" applyFill="1" applyBorder="1" applyAlignment="1">
      <alignment horizontal="center" vertical="center" wrapText="1"/>
    </xf>
    <xf numFmtId="171" fontId="0" fillId="0" borderId="0" xfId="0" applyNumberFormat="1"/>
    <xf numFmtId="172" fontId="0" fillId="0" borderId="0" xfId="0" applyNumberFormat="1"/>
    <xf numFmtId="176" fontId="0" fillId="0" borderId="0" xfId="0" applyNumberFormat="1"/>
    <xf numFmtId="0" fontId="14" fillId="4" borderId="0" xfId="0" applyFont="1" applyFill="1"/>
    <xf numFmtId="0" fontId="15" fillId="4" borderId="0" xfId="0" applyFont="1" applyFill="1"/>
    <xf numFmtId="0" fontId="0" fillId="4" borderId="0" xfId="0" applyFill="1"/>
    <xf numFmtId="0" fontId="16" fillId="4" borderId="0" xfId="0" applyFont="1" applyFill="1"/>
    <xf numFmtId="170" fontId="20" fillId="2" borderId="2" xfId="2" applyNumberFormat="1" applyFill="1" applyBorder="1" applyAlignment="1">
      <alignment vertical="center"/>
    </xf>
    <xf numFmtId="169" fontId="20" fillId="4" borderId="0" xfId="1" applyNumberFormat="1" applyFill="1"/>
    <xf numFmtId="0" fontId="16" fillId="4" borderId="0" xfId="0" applyFont="1" applyFill="1" applyAlignment="1">
      <alignment vertical="top"/>
    </xf>
    <xf numFmtId="0" fontId="0" fillId="4" borderId="0" xfId="0" applyFill="1" applyAlignment="1">
      <alignment vertical="top"/>
    </xf>
    <xf numFmtId="170" fontId="0" fillId="4" borderId="0" xfId="0" applyNumberFormat="1" applyFill="1" applyAlignment="1">
      <alignment horizontal="right" vertical="top"/>
    </xf>
    <xf numFmtId="0" fontId="0" fillId="4" borderId="0" xfId="0" applyFill="1" applyAlignment="1">
      <alignment horizontal="left" vertical="top" wrapText="1"/>
    </xf>
    <xf numFmtId="169" fontId="20" fillId="2" borderId="2" xfId="1" applyNumberFormat="1" applyFill="1" applyBorder="1" applyAlignment="1">
      <alignment vertical="center"/>
    </xf>
    <xf numFmtId="9" fontId="20" fillId="2" borderId="2" xfId="2" applyFill="1" applyBorder="1" applyAlignment="1">
      <alignment vertical="center"/>
    </xf>
    <xf numFmtId="0" fontId="17" fillId="4" borderId="0" xfId="0" applyFont="1" applyFill="1" applyAlignment="1">
      <alignment horizontal="center"/>
    </xf>
    <xf numFmtId="171" fontId="20" fillId="4" borderId="0" xfId="1" applyNumberFormat="1" applyFill="1"/>
    <xf numFmtId="177" fontId="18" fillId="4" borderId="0" xfId="3" applyNumberFormat="1" applyFont="1" applyFill="1"/>
    <xf numFmtId="0" fontId="18" fillId="4" borderId="0" xfId="0" applyFont="1" applyFill="1" applyAlignment="1">
      <alignment horizontal="center"/>
    </xf>
    <xf numFmtId="0" fontId="19" fillId="0" borderId="0" xfId="0" applyFont="1"/>
    <xf numFmtId="0" fontId="7" fillId="3" borderId="4" xfId="0" applyFont="1" applyFill="1" applyBorder="1" applyAlignment="1">
      <alignment horizontal="left" vertical="center"/>
    </xf>
    <xf numFmtId="171" fontId="20" fillId="2" borderId="2" xfId="1" applyNumberFormat="1" applyFill="1" applyBorder="1" applyAlignment="1">
      <alignment vertical="center"/>
    </xf>
    <xf numFmtId="0" fontId="0" fillId="4" borderId="2" xfId="0" applyFill="1" applyBorder="1"/>
    <xf numFmtId="174" fontId="20" fillId="2" borderId="2" xfId="1" applyNumberFormat="1" applyFill="1" applyBorder="1" applyAlignment="1">
      <alignment vertical="center"/>
    </xf>
    <xf numFmtId="171" fontId="20" fillId="5" borderId="2" xfId="1" applyNumberFormat="1" applyFill="1" applyBorder="1" applyAlignment="1">
      <alignment vertical="center"/>
    </xf>
    <xf numFmtId="177" fontId="20" fillId="4" borderId="0" xfId="3" applyNumberFormat="1" applyFill="1"/>
    <xf numFmtId="177" fontId="0" fillId="4" borderId="0" xfId="0" applyNumberFormat="1" applyFill="1"/>
    <xf numFmtId="174" fontId="20" fillId="4" borderId="0" xfId="1" applyNumberFormat="1" applyFill="1"/>
    <xf numFmtId="173" fontId="0" fillId="4" borderId="0" xfId="0" applyNumberFormat="1" applyFill="1"/>
    <xf numFmtId="178" fontId="20" fillId="4" borderId="0" xfId="3" applyNumberFormat="1" applyFill="1"/>
    <xf numFmtId="9" fontId="20" fillId="4" borderId="0" xfId="2" applyFill="1"/>
    <xf numFmtId="0" fontId="18" fillId="4" borderId="0" xfId="0" applyFont="1" applyFill="1" applyAlignment="1">
      <alignment horizontal="center" vertical="center"/>
    </xf>
    <xf numFmtId="0" fontId="21" fillId="0" borderId="0" xfId="0" applyFont="1"/>
    <xf numFmtId="0" fontId="22" fillId="0" borderId="0" xfId="0" applyFont="1"/>
    <xf numFmtId="0" fontId="24" fillId="0" borderId="0" xfId="0" applyFont="1"/>
    <xf numFmtId="0" fontId="23" fillId="0" borderId="0" xfId="0" applyFont="1"/>
    <xf numFmtId="0" fontId="0" fillId="0" borderId="1" xfId="0" applyBorder="1" applyAlignment="1">
      <alignment horizontal="center"/>
    </xf>
    <xf numFmtId="0" fontId="23" fillId="0" borderId="0" xfId="0" applyFont="1" applyAlignment="1">
      <alignment vertical="top" wrapText="1"/>
    </xf>
    <xf numFmtId="0" fontId="8" fillId="0" borderId="0" xfId="9" applyFont="1" applyAlignment="1">
      <alignment horizontal="left"/>
    </xf>
    <xf numFmtId="0" fontId="20" fillId="2" borderId="2" xfId="1" applyNumberFormat="1" applyFill="1" applyBorder="1" applyAlignment="1">
      <alignment horizontal="left" vertical="top" wrapText="1"/>
    </xf>
    <xf numFmtId="0" fontId="7" fillId="3" borderId="2" xfId="0" applyFont="1" applyFill="1" applyBorder="1" applyAlignment="1">
      <alignment horizontal="left" vertical="center" wrapText="1"/>
    </xf>
    <xf numFmtId="0" fontId="7" fillId="3" borderId="2" xfId="0" applyFont="1" applyFill="1" applyBorder="1" applyAlignment="1">
      <alignment horizontal="left" vertical="center"/>
    </xf>
    <xf numFmtId="0" fontId="7" fillId="2"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wrapText="1"/>
    </xf>
    <xf numFmtId="171" fontId="20" fillId="2" borderId="2" xfId="1" applyNumberFormat="1" applyFill="1" applyBorder="1" applyAlignment="1">
      <alignment horizontal="left" vertical="top" wrapText="1"/>
    </xf>
  </cellXfs>
  <cellStyles count="10">
    <cellStyle name="Comma" xfId="1" builtinId="3"/>
    <cellStyle name="Comma 2" xfId="3" xr:uid="{00000000-0005-0000-0000-000006000000}"/>
    <cellStyle name="Comma 3" xfId="4" xr:uid="{00000000-0005-0000-0000-000007000000}"/>
    <cellStyle name="Comma 4" xfId="5" xr:uid="{00000000-0005-0000-0000-000008000000}"/>
    <cellStyle name="Currency 2" xfId="6" xr:uid="{00000000-0005-0000-0000-000009000000}"/>
    <cellStyle name="Currency 3" xfId="7" xr:uid="{00000000-0005-0000-0000-00000A000000}"/>
    <cellStyle name="Currency 4" xfId="8" xr:uid="{00000000-0005-0000-0000-00000B000000}"/>
    <cellStyle name="Normal" xfId="0" builtinId="0"/>
    <cellStyle name="Normal 2" xfId="9" xr:uid="{00000000-0005-0000-0000-00000C000000}"/>
    <cellStyle name="Percent" xfId="2"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CCFFCC"/>
      <rgbColor rgb="FFFFFF99"/>
      <rgbColor rgb="FFB7DEE8"/>
      <rgbColor rgb="FFFF99CC"/>
      <rgbColor rgb="FFCC99FF"/>
      <rgbColor rgb="FFFCD5B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38160</xdr:rowOff>
    </xdr:from>
    <xdr:to>
      <xdr:col>1</xdr:col>
      <xdr:colOff>261000</xdr:colOff>
      <xdr:row>6</xdr:row>
      <xdr:rowOff>9360</xdr:rowOff>
    </xdr:to>
    <xdr:pic>
      <xdr:nvPicPr>
        <xdr:cNvPr id="2" name="Picture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0" y="38160"/>
          <a:ext cx="1247760" cy="29520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6:H16"/>
  <sheetViews>
    <sheetView showGridLines="0" tabSelected="1" topLeftCell="A6" zoomScaleNormal="100" workbookViewId="0">
      <selection activeCell="D13" sqref="D13"/>
    </sheetView>
  </sheetViews>
  <sheetFormatPr defaultColWidth="0" defaultRowHeight="15" zeroHeight="1"/>
  <cols>
    <col min="1" max="1" width="14" customWidth="1"/>
    <col min="2" max="2" width="8.7109375"/>
    <col min="3" max="3" width="19.28515625" customWidth="1"/>
    <col min="4" max="4" width="18" customWidth="1"/>
    <col min="5" max="8" width="8.7109375" customWidth="1"/>
    <col min="9" max="16384" width="8.7109375" hidden="1"/>
  </cols>
  <sheetData>
    <row r="6" spans="1:8" ht="25.5" customHeight="1">
      <c r="D6" s="4" t="s">
        <v>0</v>
      </c>
    </row>
    <row r="7" spans="1:8" ht="19.5" customHeight="1">
      <c r="D7" s="5"/>
    </row>
    <row r="8" spans="1:8" ht="26.25" customHeight="1">
      <c r="D8" s="6">
        <v>46113</v>
      </c>
    </row>
    <row r="9" spans="1:8" ht="21.75" customHeight="1">
      <c r="D9" s="7"/>
    </row>
    <row r="10" spans="1:8" ht="23.25" customHeight="1">
      <c r="D10" s="8" t="s">
        <v>1</v>
      </c>
    </row>
    <row r="11" spans="1:8" ht="15" customHeight="1"/>
    <row r="12" spans="1:8" ht="25.5" customHeight="1">
      <c r="D12" s="4" t="s">
        <v>2</v>
      </c>
    </row>
    <row r="13" spans="1:8" ht="15.75" customHeight="1"/>
    <row r="14" spans="1:8" ht="26.25" customHeight="1">
      <c r="A14" s="9" t="s">
        <v>3</v>
      </c>
      <c r="D14" s="76"/>
      <c r="E14" s="76"/>
      <c r="F14" s="76"/>
      <c r="G14" s="76"/>
      <c r="H14" s="76"/>
    </row>
    <row r="15" spans="1:8" ht="15" customHeight="1"/>
    <row r="16" spans="1:8" ht="45" customHeight="1">
      <c r="C16" s="3" t="s">
        <v>4</v>
      </c>
      <c r="D16" s="2" t="s">
        <v>5</v>
      </c>
    </row>
  </sheetData>
  <mergeCells count="1">
    <mergeCell ref="D14:H14"/>
  </mergeCells>
  <pageMargins left="0.7" right="0.7" top="0.75" bottom="0.75"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9"/>
  <sheetViews>
    <sheetView showGridLines="0" zoomScaleNormal="100" workbookViewId="0"/>
  </sheetViews>
  <sheetFormatPr defaultColWidth="0" defaultRowHeight="15" zeroHeight="1"/>
  <cols>
    <col min="1" max="1" width="3.140625" style="73" customWidth="1"/>
    <col min="2" max="12" width="9.140625" style="73" customWidth="1"/>
    <col min="13" max="16384" width="9.140625" style="73" hidden="1"/>
  </cols>
  <sheetData>
    <row r="1" spans="2:11"/>
    <row r="2" spans="2:11" ht="21" customHeight="1">
      <c r="B2" s="72" t="s">
        <v>6</v>
      </c>
    </row>
    <row r="3" spans="2:11"/>
    <row r="4" spans="2:11" ht="42" customHeight="1">
      <c r="B4" s="77" t="s">
        <v>7</v>
      </c>
      <c r="C4" s="77"/>
      <c r="D4" s="77"/>
      <c r="E4" s="77"/>
      <c r="F4" s="77"/>
      <c r="G4" s="77"/>
      <c r="H4" s="77"/>
      <c r="I4" s="77"/>
      <c r="J4" s="77"/>
      <c r="K4" s="77"/>
    </row>
    <row r="5" spans="2:11" ht="42" customHeight="1">
      <c r="B5" s="77"/>
      <c r="C5" s="77"/>
      <c r="D5" s="77"/>
      <c r="E5" s="77"/>
      <c r="F5" s="77"/>
      <c r="G5" s="77"/>
      <c r="H5" s="77"/>
      <c r="I5" s="77"/>
      <c r="J5" s="77"/>
      <c r="K5" s="77"/>
    </row>
    <row r="6" spans="2:11" ht="42" customHeight="1">
      <c r="B6" s="77"/>
      <c r="C6" s="77"/>
      <c r="D6" s="77"/>
      <c r="E6" s="77"/>
      <c r="F6" s="77"/>
      <c r="G6" s="77"/>
      <c r="H6" s="77"/>
      <c r="I6" s="77"/>
      <c r="J6" s="77"/>
      <c r="K6" s="77"/>
    </row>
    <row r="7" spans="2:11">
      <c r="B7" s="74"/>
    </row>
    <row r="8" spans="2:11">
      <c r="B8" s="75" t="s">
        <v>8</v>
      </c>
    </row>
    <row r="9" spans="2:11">
      <c r="B9" s="74"/>
    </row>
  </sheetData>
  <mergeCells count="1">
    <mergeCell ref="B4:K6"/>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8"/>
  <sheetViews>
    <sheetView showGridLines="0" zoomScale="80" zoomScaleNormal="80" workbookViewId="0">
      <pane ySplit="3" topLeftCell="A20" activePane="bottomLeft" state="frozen"/>
      <selection pane="bottomLeft" activeCell="B4" sqref="B4"/>
      <selection activeCell="B4" sqref="B4"/>
    </sheetView>
  </sheetViews>
  <sheetFormatPr defaultColWidth="8.7109375" defaultRowHeight="12.75"/>
  <cols>
    <col min="1" max="3" width="20.7109375" style="10" customWidth="1"/>
    <col min="4" max="4" width="39" style="10" customWidth="1"/>
    <col min="5" max="256" width="8.7109375" style="10"/>
    <col min="257" max="260" width="20.7109375" style="10" customWidth="1"/>
    <col min="261" max="512" width="8.7109375" style="10"/>
    <col min="513" max="516" width="20.7109375" style="10" customWidth="1"/>
    <col min="517" max="768" width="8.7109375" style="10"/>
    <col min="769" max="772" width="20.7109375" style="10" customWidth="1"/>
    <col min="773" max="1024" width="8.7109375" style="10"/>
    <col min="1025" max="1028" width="20.7109375" style="10" customWidth="1"/>
    <col min="1029" max="1280" width="8.7109375" style="10"/>
    <col min="1281" max="1284" width="20.7109375" style="10" customWidth="1"/>
    <col min="1285" max="1536" width="8.7109375" style="10"/>
    <col min="1537" max="1540" width="20.7109375" style="10" customWidth="1"/>
    <col min="1541" max="1792" width="8.7109375" style="10"/>
    <col min="1793" max="1796" width="20.7109375" style="10" customWidth="1"/>
    <col min="1797" max="2048" width="8.7109375" style="10"/>
    <col min="2049" max="2052" width="20.7109375" style="10" customWidth="1"/>
    <col min="2053" max="2304" width="8.7109375" style="10"/>
    <col min="2305" max="2308" width="20.7109375" style="10" customWidth="1"/>
    <col min="2309" max="2560" width="8.7109375" style="10"/>
    <col min="2561" max="2564" width="20.7109375" style="10" customWidth="1"/>
    <col min="2565" max="2816" width="8.7109375" style="10"/>
    <col min="2817" max="2820" width="20.7109375" style="10" customWidth="1"/>
    <col min="2821" max="3072" width="8.7109375" style="10"/>
    <col min="3073" max="3076" width="20.7109375" style="10" customWidth="1"/>
    <col min="3077" max="3328" width="8.7109375" style="10"/>
    <col min="3329" max="3332" width="20.7109375" style="10" customWidth="1"/>
    <col min="3333" max="3584" width="8.7109375" style="10"/>
    <col min="3585" max="3588" width="20.7109375" style="10" customWidth="1"/>
    <col min="3589" max="3840" width="8.7109375" style="10"/>
    <col min="3841" max="3844" width="20.7109375" style="10" customWidth="1"/>
    <col min="3845" max="4096" width="8.7109375" style="10"/>
    <col min="4097" max="4100" width="20.7109375" style="10" customWidth="1"/>
    <col min="4101" max="4352" width="8.7109375" style="10"/>
    <col min="4353" max="4356" width="20.7109375" style="10" customWidth="1"/>
    <col min="4357" max="4608" width="8.7109375" style="10"/>
    <col min="4609" max="4612" width="20.7109375" style="10" customWidth="1"/>
    <col min="4613" max="4864" width="8.7109375" style="10"/>
    <col min="4865" max="4868" width="20.7109375" style="10" customWidth="1"/>
    <col min="4869" max="5120" width="8.7109375" style="10"/>
    <col min="5121" max="5124" width="20.7109375" style="10" customWidth="1"/>
    <col min="5125" max="5376" width="8.7109375" style="10"/>
    <col min="5377" max="5380" width="20.7109375" style="10" customWidth="1"/>
    <col min="5381" max="5632" width="8.7109375" style="10"/>
    <col min="5633" max="5636" width="20.7109375" style="10" customWidth="1"/>
    <col min="5637" max="5888" width="8.7109375" style="10"/>
    <col min="5889" max="5892" width="20.7109375" style="10" customWidth="1"/>
    <col min="5893" max="6144" width="8.7109375" style="10"/>
    <col min="6145" max="6148" width="20.7109375" style="10" customWidth="1"/>
    <col min="6149" max="6400" width="8.7109375" style="10"/>
    <col min="6401" max="6404" width="20.7109375" style="10" customWidth="1"/>
    <col min="6405" max="6656" width="8.7109375" style="10"/>
    <col min="6657" max="6660" width="20.7109375" style="10" customWidth="1"/>
    <col min="6661" max="6912" width="8.7109375" style="10"/>
    <col min="6913" max="6916" width="20.7109375" style="10" customWidth="1"/>
    <col min="6917" max="7168" width="8.7109375" style="10"/>
    <col min="7169" max="7172" width="20.7109375" style="10" customWidth="1"/>
    <col min="7173" max="7424" width="8.7109375" style="10"/>
    <col min="7425" max="7428" width="20.7109375" style="10" customWidth="1"/>
    <col min="7429" max="7680" width="8.7109375" style="10"/>
    <col min="7681" max="7684" width="20.7109375" style="10" customWidth="1"/>
    <col min="7685" max="7936" width="8.7109375" style="10"/>
    <col min="7937" max="7940" width="20.7109375" style="10" customWidth="1"/>
    <col min="7941" max="8192" width="8.7109375" style="10"/>
    <col min="8193" max="8196" width="20.7109375" style="10" customWidth="1"/>
    <col min="8197" max="8448" width="8.7109375" style="10"/>
    <col min="8449" max="8452" width="20.7109375" style="10" customWidth="1"/>
    <col min="8453" max="8704" width="8.7109375" style="10"/>
    <col min="8705" max="8708" width="20.7109375" style="10" customWidth="1"/>
    <col min="8709" max="8960" width="8.7109375" style="10"/>
    <col min="8961" max="8964" width="20.7109375" style="10" customWidth="1"/>
    <col min="8965" max="9216" width="8.7109375" style="10"/>
    <col min="9217" max="9220" width="20.7109375" style="10" customWidth="1"/>
    <col min="9221" max="9472" width="8.7109375" style="10"/>
    <col min="9473" max="9476" width="20.7109375" style="10" customWidth="1"/>
    <col min="9477" max="9728" width="8.7109375" style="10"/>
    <col min="9729" max="9732" width="20.7109375" style="10" customWidth="1"/>
    <col min="9733" max="9984" width="8.7109375" style="10"/>
    <col min="9985" max="9988" width="20.7109375" style="10" customWidth="1"/>
    <col min="9989" max="10240" width="8.7109375" style="10"/>
    <col min="10241" max="10244" width="20.7109375" style="10" customWidth="1"/>
    <col min="10245" max="10496" width="8.7109375" style="10"/>
    <col min="10497" max="10500" width="20.7109375" style="10" customWidth="1"/>
    <col min="10501" max="10752" width="8.7109375" style="10"/>
    <col min="10753" max="10756" width="20.7109375" style="10" customWidth="1"/>
    <col min="10757" max="11008" width="8.7109375" style="10"/>
    <col min="11009" max="11012" width="20.7109375" style="10" customWidth="1"/>
    <col min="11013" max="11264" width="8.7109375" style="10"/>
    <col min="11265" max="11268" width="20.7109375" style="10" customWidth="1"/>
    <col min="11269" max="11520" width="8.7109375" style="10"/>
    <col min="11521" max="11524" width="20.7109375" style="10" customWidth="1"/>
    <col min="11525" max="11776" width="8.7109375" style="10"/>
    <col min="11777" max="11780" width="20.7109375" style="10" customWidth="1"/>
    <col min="11781" max="12032" width="8.7109375" style="10"/>
    <col min="12033" max="12036" width="20.7109375" style="10" customWidth="1"/>
    <col min="12037" max="12288" width="8.7109375" style="10"/>
    <col min="12289" max="12292" width="20.7109375" style="10" customWidth="1"/>
    <col min="12293" max="12544" width="8.7109375" style="10"/>
    <col min="12545" max="12548" width="20.7109375" style="10" customWidth="1"/>
    <col min="12549" max="12800" width="8.7109375" style="10"/>
    <col min="12801" max="12804" width="20.7109375" style="10" customWidth="1"/>
    <col min="12805" max="13056" width="8.7109375" style="10"/>
    <col min="13057" max="13060" width="20.7109375" style="10" customWidth="1"/>
    <col min="13061" max="13312" width="8.7109375" style="10"/>
    <col min="13313" max="13316" width="20.7109375" style="10" customWidth="1"/>
    <col min="13317" max="13568" width="8.7109375" style="10"/>
    <col min="13569" max="13572" width="20.7109375" style="10" customWidth="1"/>
    <col min="13573" max="13824" width="8.7109375" style="10"/>
    <col min="13825" max="13828" width="20.7109375" style="10" customWidth="1"/>
    <col min="13829" max="14080" width="8.7109375" style="10"/>
    <col min="14081" max="14084" width="20.7109375" style="10" customWidth="1"/>
    <col min="14085" max="14336" width="8.7109375" style="10"/>
    <col min="14337" max="14340" width="20.7109375" style="10" customWidth="1"/>
    <col min="14341" max="14592" width="8.7109375" style="10"/>
    <col min="14593" max="14596" width="20.7109375" style="10" customWidth="1"/>
    <col min="14597" max="14848" width="8.7109375" style="10"/>
    <col min="14849" max="14852" width="20.7109375" style="10" customWidth="1"/>
    <col min="14853" max="15104" width="8.7109375" style="10"/>
    <col min="15105" max="15108" width="20.7109375" style="10" customWidth="1"/>
    <col min="15109" max="15360" width="8.7109375" style="10"/>
    <col min="15361" max="15364" width="20.7109375" style="10" customWidth="1"/>
    <col min="15365" max="15616" width="8.7109375" style="10"/>
    <col min="15617" max="15620" width="20.7109375" style="10" customWidth="1"/>
    <col min="15621" max="15872" width="8.7109375" style="10"/>
    <col min="15873" max="15876" width="20.7109375" style="10" customWidth="1"/>
    <col min="15877" max="16128" width="8.7109375" style="10"/>
    <col min="16129" max="16132" width="20.7109375" style="10" customWidth="1"/>
    <col min="16133" max="16384" width="8.7109375" style="10"/>
  </cols>
  <sheetData>
    <row r="1" spans="1:4" ht="21" customHeight="1">
      <c r="A1" s="78" t="s">
        <v>9</v>
      </c>
      <c r="B1" s="78"/>
      <c r="C1" s="78"/>
      <c r="D1" s="78"/>
    </row>
    <row r="2" spans="1:4" ht="15" customHeight="1">
      <c r="A2" s="11"/>
      <c r="B2" s="11"/>
      <c r="C2" s="11"/>
      <c r="D2" s="11"/>
    </row>
    <row r="3" spans="1:4" ht="15" customHeight="1">
      <c r="A3" s="12" t="s">
        <v>10</v>
      </c>
      <c r="B3" s="12" t="s">
        <v>11</v>
      </c>
      <c r="C3" s="12" t="s">
        <v>12</v>
      </c>
      <c r="D3" s="12" t="s">
        <v>13</v>
      </c>
    </row>
    <row r="5" spans="1:4">
      <c r="A5" s="13">
        <v>17</v>
      </c>
      <c r="B5" s="14">
        <v>4.2700000000000002E-4</v>
      </c>
      <c r="C5" s="14">
        <v>5.5199999999999997E-4</v>
      </c>
      <c r="D5" s="14">
        <v>5.9999999999999995E-4</v>
      </c>
    </row>
    <row r="6" spans="1:4">
      <c r="A6" s="13">
        <v>18</v>
      </c>
      <c r="B6" s="14">
        <v>4.26E-4</v>
      </c>
      <c r="C6" s="14">
        <v>5.4799999999999998E-4</v>
      </c>
      <c r="D6" s="14">
        <v>5.9400000000000002E-4</v>
      </c>
    </row>
    <row r="7" spans="1:4">
      <c r="A7" s="13">
        <v>19</v>
      </c>
      <c r="B7" s="14">
        <v>4.2499999999999998E-4</v>
      </c>
      <c r="C7" s="14">
        <v>5.44E-4</v>
      </c>
      <c r="D7" s="14">
        <v>5.8699999999999996E-4</v>
      </c>
    </row>
    <row r="8" spans="1:4">
      <c r="A8" s="13">
        <v>20</v>
      </c>
      <c r="B8" s="14">
        <v>4.2499999999999998E-4</v>
      </c>
      <c r="C8" s="14">
        <v>5.4100000000000003E-4</v>
      </c>
      <c r="D8" s="14">
        <v>5.8200000000000005E-4</v>
      </c>
    </row>
    <row r="9" spans="1:4">
      <c r="A9" s="13">
        <v>21</v>
      </c>
      <c r="B9" s="14">
        <v>4.2499999999999998E-4</v>
      </c>
      <c r="C9" s="14">
        <v>5.3799999999999996E-4</v>
      </c>
      <c r="D9" s="14">
        <v>5.7700000000000004E-4</v>
      </c>
    </row>
    <row r="10" spans="1:4">
      <c r="A10" s="13">
        <v>22</v>
      </c>
      <c r="B10" s="14">
        <v>4.2700000000000002E-4</v>
      </c>
      <c r="C10" s="14">
        <v>5.3499999999999999E-4</v>
      </c>
      <c r="D10" s="14">
        <v>5.7200000000000003E-4</v>
      </c>
    </row>
    <row r="11" spans="1:4">
      <c r="A11" s="13">
        <v>23</v>
      </c>
      <c r="B11" s="14">
        <v>4.2900000000000002E-4</v>
      </c>
      <c r="C11" s="14">
        <v>5.3399999999999997E-4</v>
      </c>
      <c r="D11" s="14">
        <v>5.6899999999999995E-4</v>
      </c>
    </row>
    <row r="12" spans="1:4">
      <c r="A12" s="13">
        <v>24</v>
      </c>
      <c r="B12" s="14">
        <v>4.3100000000000001E-4</v>
      </c>
      <c r="C12" s="14">
        <v>5.3300000000000005E-4</v>
      </c>
      <c r="D12" s="14">
        <v>5.6700000000000001E-4</v>
      </c>
    </row>
    <row r="13" spans="1:4">
      <c r="A13" s="13">
        <v>25</v>
      </c>
      <c r="B13" s="14">
        <v>4.35E-4</v>
      </c>
      <c r="C13" s="14">
        <v>5.3300000000000005E-4</v>
      </c>
      <c r="D13" s="14">
        <v>5.6599999999999999E-4</v>
      </c>
    </row>
    <row r="14" spans="1:4">
      <c r="A14" s="13">
        <v>26</v>
      </c>
      <c r="B14" s="14">
        <v>4.4000000000000002E-4</v>
      </c>
      <c r="C14" s="14">
        <v>5.3499999999999999E-4</v>
      </c>
      <c r="D14" s="14">
        <v>5.6700000000000001E-4</v>
      </c>
    </row>
    <row r="15" spans="1:4">
      <c r="A15" s="13">
        <v>27</v>
      </c>
      <c r="B15" s="14">
        <v>4.4700000000000002E-4</v>
      </c>
      <c r="C15" s="14">
        <v>5.3799999999999996E-4</v>
      </c>
      <c r="D15" s="14">
        <v>5.6999999999999998E-4</v>
      </c>
    </row>
    <row r="16" spans="1:4">
      <c r="A16" s="13">
        <v>28</v>
      </c>
      <c r="B16" s="14">
        <v>4.55E-4</v>
      </c>
      <c r="C16" s="14">
        <v>5.4199999999999995E-4</v>
      </c>
      <c r="D16" s="14">
        <v>5.7399999999999997E-4</v>
      </c>
    </row>
    <row r="17" spans="1:4">
      <c r="A17" s="13">
        <v>29</v>
      </c>
      <c r="B17" s="14">
        <v>4.6500000000000003E-4</v>
      </c>
      <c r="C17" s="14">
        <v>5.4900000000000001E-4</v>
      </c>
      <c r="D17" s="14">
        <v>5.8E-4</v>
      </c>
    </row>
    <row r="18" spans="1:4">
      <c r="A18" s="13">
        <v>30</v>
      </c>
      <c r="B18" s="14">
        <v>4.7600000000000002E-4</v>
      </c>
      <c r="C18" s="14">
        <v>5.5800000000000001E-4</v>
      </c>
      <c r="D18" s="14">
        <v>5.9000000000000003E-4</v>
      </c>
    </row>
    <row r="19" spans="1:4">
      <c r="A19" s="13">
        <v>31</v>
      </c>
      <c r="B19" s="14">
        <v>4.8999999999999998E-4</v>
      </c>
      <c r="C19" s="14">
        <v>5.6899999999999995E-4</v>
      </c>
      <c r="D19" s="14">
        <v>6.02E-4</v>
      </c>
    </row>
    <row r="20" spans="1:4">
      <c r="A20" s="13">
        <v>32</v>
      </c>
      <c r="B20" s="14">
        <v>5.0699999999999996E-4</v>
      </c>
      <c r="C20" s="14">
        <v>5.8399999999999999E-4</v>
      </c>
      <c r="D20" s="14">
        <v>6.1700000000000004E-4</v>
      </c>
    </row>
    <row r="21" spans="1:4">
      <c r="A21" s="13">
        <v>33</v>
      </c>
      <c r="B21" s="14">
        <v>5.2700000000000002E-4</v>
      </c>
      <c r="C21" s="14">
        <v>6.02E-4</v>
      </c>
      <c r="D21" s="14">
        <v>6.3599999999999996E-4</v>
      </c>
    </row>
    <row r="22" spans="1:4">
      <c r="A22" s="13">
        <v>34</v>
      </c>
      <c r="B22" s="14">
        <v>5.5000000000000003E-4</v>
      </c>
      <c r="C22" s="14">
        <v>6.2399999999999999E-4</v>
      </c>
      <c r="D22" s="14">
        <v>6.6E-4</v>
      </c>
    </row>
    <row r="23" spans="1:4">
      <c r="A23" s="13">
        <v>35</v>
      </c>
      <c r="B23" s="14">
        <v>5.7700000000000004E-4</v>
      </c>
      <c r="C23" s="14">
        <v>6.5099999999999999E-4</v>
      </c>
      <c r="D23" s="14">
        <v>6.8900000000000005E-4</v>
      </c>
    </row>
    <row r="24" spans="1:4">
      <c r="A24" s="13">
        <v>36</v>
      </c>
      <c r="B24" s="14">
        <v>6.0800000000000003E-4</v>
      </c>
      <c r="C24" s="14">
        <v>6.8300000000000001E-4</v>
      </c>
      <c r="D24" s="14">
        <v>7.2400000000000003E-4</v>
      </c>
    </row>
    <row r="25" spans="1:4">
      <c r="A25" s="13">
        <v>37</v>
      </c>
      <c r="B25" s="14">
        <v>6.4400000000000004E-4</v>
      </c>
      <c r="C25" s="14">
        <v>7.2199999999999999E-4</v>
      </c>
      <c r="D25" s="14">
        <v>7.6499999999999995E-4</v>
      </c>
    </row>
    <row r="26" spans="1:4">
      <c r="A26" s="13">
        <v>38</v>
      </c>
      <c r="B26" s="14">
        <v>6.8499999999999995E-4</v>
      </c>
      <c r="C26" s="14">
        <v>7.6800000000000002E-4</v>
      </c>
      <c r="D26" s="14">
        <v>8.1300000000000003E-4</v>
      </c>
    </row>
    <row r="27" spans="1:4">
      <c r="A27" s="13">
        <v>39</v>
      </c>
      <c r="B27" s="14">
        <v>7.3300000000000004E-4</v>
      </c>
      <c r="C27" s="14">
        <v>8.2299999999999995E-4</v>
      </c>
      <c r="D27" s="14">
        <v>8.7000000000000001E-4</v>
      </c>
    </row>
    <row r="28" spans="1:4">
      <c r="A28" s="13">
        <v>40</v>
      </c>
      <c r="B28" s="14">
        <v>7.8799999999999996E-4</v>
      </c>
      <c r="C28" s="14">
        <v>8.8699999999999998E-4</v>
      </c>
      <c r="D28" s="14">
        <v>9.3700000000000001E-4</v>
      </c>
    </row>
    <row r="29" spans="1:4">
      <c r="A29" s="13">
        <v>41</v>
      </c>
      <c r="B29" s="14">
        <v>8.5099999999999998E-4</v>
      </c>
      <c r="C29" s="14">
        <v>9.6199999999999996E-4</v>
      </c>
      <c r="D29" s="14">
        <v>1.0139999999999999E-3</v>
      </c>
    </row>
    <row r="30" spans="1:4">
      <c r="A30" s="13">
        <v>42</v>
      </c>
      <c r="B30" s="14">
        <v>9.2199999999999997E-4</v>
      </c>
      <c r="C30" s="14">
        <v>1.049E-3</v>
      </c>
      <c r="D30" s="14">
        <v>1.1039999999999999E-3</v>
      </c>
    </row>
    <row r="31" spans="1:4">
      <c r="A31" s="13">
        <v>43</v>
      </c>
      <c r="B31" s="14">
        <v>1.003E-3</v>
      </c>
      <c r="C31" s="14">
        <v>1.15E-3</v>
      </c>
      <c r="D31" s="14">
        <v>1.2080000000000001E-3</v>
      </c>
    </row>
    <row r="32" spans="1:4">
      <c r="A32" s="13">
        <v>44</v>
      </c>
      <c r="B32" s="14">
        <v>1.096E-3</v>
      </c>
      <c r="C32" s="14">
        <v>1.2669999999999999E-3</v>
      </c>
      <c r="D32" s="14">
        <v>1.3270000000000001E-3</v>
      </c>
    </row>
    <row r="33" spans="1:4">
      <c r="A33" s="13">
        <v>45</v>
      </c>
      <c r="B33" s="14">
        <v>1.201E-3</v>
      </c>
      <c r="C33" s="14">
        <v>1.402E-3</v>
      </c>
      <c r="D33" s="14">
        <v>1.4649999999999999E-3</v>
      </c>
    </row>
    <row r="34" spans="1:4">
      <c r="A34" s="13">
        <v>46</v>
      </c>
      <c r="B34" s="14">
        <v>1.32E-3</v>
      </c>
      <c r="C34" s="14">
        <v>1.557E-3</v>
      </c>
      <c r="D34" s="14">
        <v>1.622E-3</v>
      </c>
    </row>
    <row r="35" spans="1:4">
      <c r="A35" s="13">
        <v>47</v>
      </c>
      <c r="B35" s="14">
        <v>1.4549999999999999E-3</v>
      </c>
      <c r="C35" s="14">
        <v>1.735E-3</v>
      </c>
      <c r="D35" s="14">
        <v>1.802E-3</v>
      </c>
    </row>
    <row r="36" spans="1:4">
      <c r="A36" s="13">
        <v>48</v>
      </c>
      <c r="B36" s="14">
        <v>1.6069999999999999E-3</v>
      </c>
      <c r="C36" s="14">
        <v>1.9380000000000001E-3</v>
      </c>
      <c r="D36" s="14">
        <v>2.0079999999999998E-3</v>
      </c>
    </row>
    <row r="37" spans="1:4">
      <c r="A37" s="13">
        <v>49</v>
      </c>
      <c r="B37" s="14">
        <v>1.7780000000000001E-3</v>
      </c>
      <c r="C37" s="14">
        <v>2.1700000000000001E-3</v>
      </c>
      <c r="D37" s="14">
        <v>2.2409999999999999E-3</v>
      </c>
    </row>
    <row r="38" spans="1:4">
      <c r="A38" s="13">
        <v>50</v>
      </c>
      <c r="B38" s="14">
        <v>1.9710000000000001E-3</v>
      </c>
      <c r="C38" s="14">
        <v>2.434E-3</v>
      </c>
      <c r="D38" s="14">
        <v>2.5079999999999998E-3</v>
      </c>
    </row>
    <row r="39" spans="1:4">
      <c r="A39" s="13">
        <v>51</v>
      </c>
      <c r="B39" s="14">
        <v>2.189E-3</v>
      </c>
      <c r="C39" s="14">
        <v>2.7320000000000001E-3</v>
      </c>
      <c r="D39" s="14">
        <v>2.8089999999999999E-3</v>
      </c>
    </row>
    <row r="40" spans="1:4">
      <c r="A40" s="13">
        <v>52</v>
      </c>
      <c r="B40" s="14">
        <v>2.4329999999999998E-3</v>
      </c>
      <c r="C40" s="14">
        <v>3.0699999999999998E-3</v>
      </c>
      <c r="D40" s="14">
        <v>3.1519999999999999E-3</v>
      </c>
    </row>
    <row r="41" spans="1:4">
      <c r="A41" s="13">
        <v>53</v>
      </c>
      <c r="B41" s="14">
        <v>2.7070000000000002E-3</v>
      </c>
      <c r="C41" s="14">
        <v>3.4520000000000002E-3</v>
      </c>
      <c r="D41" s="14">
        <v>3.539E-3</v>
      </c>
    </row>
    <row r="42" spans="1:4">
      <c r="A42" s="13">
        <v>54</v>
      </c>
      <c r="B42" s="14">
        <v>3.0140000000000002E-3</v>
      </c>
      <c r="C42" s="14">
        <v>3.8809999999999999E-3</v>
      </c>
      <c r="D42" s="14">
        <v>3.9760000000000004E-3</v>
      </c>
    </row>
    <row r="43" spans="1:4">
      <c r="A43" s="13">
        <v>55</v>
      </c>
      <c r="B43" s="14">
        <v>3.3579999999999999E-3</v>
      </c>
      <c r="C43" s="14">
        <v>4.3629999999999997E-3</v>
      </c>
      <c r="D43" s="14">
        <v>4.4689999999999999E-3</v>
      </c>
    </row>
    <row r="44" spans="1:4">
      <c r="A44" s="13">
        <v>56</v>
      </c>
      <c r="B44" s="14">
        <v>3.7420000000000001E-3</v>
      </c>
      <c r="C44" s="14">
        <v>4.9030000000000002E-3</v>
      </c>
      <c r="D44" s="14">
        <v>5.025E-3</v>
      </c>
    </row>
    <row r="45" spans="1:4">
      <c r="A45" s="13">
        <v>57</v>
      </c>
      <c r="B45" s="14">
        <v>4.1710000000000002E-3</v>
      </c>
      <c r="C45" s="14">
        <v>5.5069999999999997E-3</v>
      </c>
      <c r="D45" s="14">
        <v>5.6499999999999996E-3</v>
      </c>
    </row>
    <row r="46" spans="1:4">
      <c r="A46" s="13">
        <v>58</v>
      </c>
      <c r="B46" s="14">
        <v>4.6490000000000004E-3</v>
      </c>
      <c r="C46" s="14">
        <v>6.1799999999999997E-3</v>
      </c>
      <c r="D46" s="14">
        <v>6.352E-3</v>
      </c>
    </row>
    <row r="47" spans="1:4">
      <c r="A47" s="13">
        <v>59</v>
      </c>
      <c r="B47" s="14">
        <v>5.182E-3</v>
      </c>
      <c r="C47" s="14">
        <v>6.9290000000000003E-3</v>
      </c>
      <c r="D47" s="14">
        <v>7.1399999999999996E-3</v>
      </c>
    </row>
    <row r="48" spans="1:4">
      <c r="A48" s="13">
        <v>60</v>
      </c>
      <c r="B48" s="14">
        <v>5.7739999999999996E-3</v>
      </c>
      <c r="C48" s="14">
        <v>7.7600000000000004E-3</v>
      </c>
      <c r="D48" s="14">
        <v>8.0219999999999996E-3</v>
      </c>
    </row>
    <row r="49" spans="1:4">
      <c r="A49" s="13">
        <v>61</v>
      </c>
      <c r="B49" s="14">
        <v>6.4330000000000003E-3</v>
      </c>
      <c r="C49" s="14">
        <v>8.6800000000000002E-3</v>
      </c>
      <c r="D49" s="14">
        <v>9.0089999999999996E-3</v>
      </c>
    </row>
    <row r="50" spans="1:4">
      <c r="A50" s="13">
        <v>62</v>
      </c>
      <c r="B50" s="14">
        <v>7.1640000000000002E-3</v>
      </c>
      <c r="C50" s="14">
        <v>9.6959999999999998E-3</v>
      </c>
      <c r="D50" s="14">
        <v>1.0111999999999999E-2</v>
      </c>
    </row>
    <row r="51" spans="1:4">
      <c r="A51" s="13">
        <v>63</v>
      </c>
      <c r="B51" s="14">
        <v>7.9740000000000002E-3</v>
      </c>
      <c r="C51" s="14">
        <v>1.0815E-2</v>
      </c>
      <c r="D51" s="14">
        <v>1.1344E-2</v>
      </c>
    </row>
    <row r="52" spans="1:4">
      <c r="A52" s="13">
        <v>64</v>
      </c>
      <c r="B52" s="14">
        <v>8.8710000000000004E-3</v>
      </c>
      <c r="C52" s="14">
        <v>1.2045999999999999E-2</v>
      </c>
      <c r="D52" s="14">
        <v>1.2716E-2</v>
      </c>
    </row>
    <row r="53" spans="1:4">
      <c r="A53" s="13">
        <v>65</v>
      </c>
      <c r="B53" s="14">
        <v>9.8639999999999995E-3</v>
      </c>
      <c r="C53" s="14">
        <v>1.3396E-2</v>
      </c>
      <c r="D53" s="14">
        <v>1.4243E-2</v>
      </c>
    </row>
    <row r="54" spans="1:4">
      <c r="A54" s="13">
        <v>66</v>
      </c>
      <c r="B54" s="14">
        <v>1.0959999999999999E-2</v>
      </c>
      <c r="C54" s="14">
        <v>1.4873000000000001E-2</v>
      </c>
      <c r="D54" s="14">
        <v>1.5939999999999999E-2</v>
      </c>
    </row>
    <row r="55" spans="1:4">
      <c r="A55" s="13">
        <v>67</v>
      </c>
      <c r="B55" s="14">
        <v>1.2168999999999999E-2</v>
      </c>
      <c r="C55" s="14">
        <v>1.6483999999999999E-2</v>
      </c>
      <c r="D55" s="14">
        <v>1.7824E-2</v>
      </c>
    </row>
    <row r="56" spans="1:4">
      <c r="A56" s="13">
        <v>68</v>
      </c>
      <c r="B56" s="14">
        <v>1.3502E-2</v>
      </c>
      <c r="C56" s="14">
        <v>1.8238999999999998E-2</v>
      </c>
      <c r="D56" s="14">
        <v>1.9913E-2</v>
      </c>
    </row>
    <row r="57" spans="1:4">
      <c r="A57" s="13">
        <v>69</v>
      </c>
      <c r="B57" s="14">
        <v>1.4969E-2</v>
      </c>
      <c r="C57" s="14">
        <v>2.0145E-2</v>
      </c>
      <c r="D57" s="14">
        <v>2.2225999999999999E-2</v>
      </c>
    </row>
    <row r="58" spans="1:4">
      <c r="A58" s="13">
        <v>70</v>
      </c>
      <c r="B58" s="14">
        <v>1.6582E-2</v>
      </c>
      <c r="C58" s="14">
        <v>2.2210000000000001E-2</v>
      </c>
      <c r="D58" s="14">
        <v>2.4782999999999999E-2</v>
      </c>
    </row>
    <row r="59" spans="1:4">
      <c r="A59" s="13">
        <v>71</v>
      </c>
      <c r="B59" s="14">
        <v>1.8353000000000001E-2</v>
      </c>
      <c r="C59" s="14">
        <v>2.4441000000000001E-2</v>
      </c>
      <c r="D59" s="14">
        <v>2.7605999999999999E-2</v>
      </c>
    </row>
    <row r="60" spans="1:4">
      <c r="A60" s="13">
        <v>72</v>
      </c>
      <c r="B60" s="14">
        <v>2.0296000000000002E-2</v>
      </c>
      <c r="C60" s="14">
        <v>2.6846999999999999E-2</v>
      </c>
      <c r="D60" s="14">
        <v>3.0717999999999999E-2</v>
      </c>
    </row>
    <row r="61" spans="1:4">
      <c r="A61" s="13">
        <v>73</v>
      </c>
      <c r="B61" s="14">
        <v>2.2422999999999998E-2</v>
      </c>
      <c r="C61" s="14">
        <v>2.9433999999999998E-2</v>
      </c>
      <c r="D61" s="14">
        <v>3.4144000000000001E-2</v>
      </c>
    </row>
    <row r="62" spans="1:4">
      <c r="A62" s="13">
        <v>74</v>
      </c>
      <c r="B62" s="14">
        <v>2.4750000000000001E-2</v>
      </c>
      <c r="C62" s="14">
        <v>3.2208000000000001E-2</v>
      </c>
      <c r="D62" s="14">
        <v>3.7911E-2</v>
      </c>
    </row>
    <row r="63" spans="1:4">
      <c r="A63" s="13">
        <v>75</v>
      </c>
      <c r="B63" s="14">
        <v>2.7293000000000001E-2</v>
      </c>
      <c r="C63" s="14">
        <v>3.5175999999999999E-2</v>
      </c>
      <c r="D63" s="14">
        <v>4.2046E-2</v>
      </c>
    </row>
    <row r="64" spans="1:4">
      <c r="A64" s="13">
        <v>76</v>
      </c>
      <c r="B64" s="14">
        <v>3.0067E-2</v>
      </c>
      <c r="C64" s="14">
        <v>3.8344000000000003E-2</v>
      </c>
      <c r="D64" s="14">
        <v>4.6578000000000001E-2</v>
      </c>
    </row>
    <row r="65" spans="1:4">
      <c r="A65" s="13">
        <v>77</v>
      </c>
      <c r="B65" s="14">
        <v>3.3090000000000001E-2</v>
      </c>
      <c r="C65" s="14">
        <v>4.1715000000000002E-2</v>
      </c>
      <c r="D65" s="14">
        <v>5.1538E-2</v>
      </c>
    </row>
    <row r="66" spans="1:4">
      <c r="A66" s="13">
        <v>78</v>
      </c>
      <c r="B66" s="14">
        <v>3.6379000000000002E-2</v>
      </c>
      <c r="C66" s="14">
        <v>4.5291999999999999E-2</v>
      </c>
      <c r="D66" s="14">
        <v>5.6956E-2</v>
      </c>
    </row>
    <row r="67" spans="1:4">
      <c r="A67" s="13">
        <v>79</v>
      </c>
      <c r="B67" s="14">
        <v>3.9954000000000003E-2</v>
      </c>
      <c r="C67" s="14">
        <v>4.9079999999999999E-2</v>
      </c>
      <c r="D67" s="14">
        <v>6.2867000000000006E-2</v>
      </c>
    </row>
    <row r="68" spans="1:4">
      <c r="A68" s="13">
        <v>80</v>
      </c>
      <c r="B68" s="14">
        <v>4.3832999999999997E-2</v>
      </c>
      <c r="C68" s="14">
        <v>5.3078E-2</v>
      </c>
      <c r="D68" s="14">
        <v>6.9303000000000003E-2</v>
      </c>
    </row>
    <row r="69" spans="1:4">
      <c r="A69" s="13">
        <v>81</v>
      </c>
      <c r="B69" s="14">
        <v>4.8037000000000003E-2</v>
      </c>
      <c r="C69" s="14">
        <v>5.7287999999999999E-2</v>
      </c>
      <c r="D69" s="14">
        <v>7.6300000000000007E-2</v>
      </c>
    </row>
    <row r="70" spans="1:4">
      <c r="A70" s="13">
        <v>82</v>
      </c>
      <c r="B70" s="14">
        <v>5.2586000000000001E-2</v>
      </c>
      <c r="C70" s="14">
        <v>6.1709E-2</v>
      </c>
      <c r="D70" s="14">
        <v>8.3892999999999995E-2</v>
      </c>
    </row>
    <row r="71" spans="1:4">
      <c r="A71" s="13">
        <v>83</v>
      </c>
      <c r="B71" s="14">
        <v>5.7500999999999997E-2</v>
      </c>
      <c r="C71" s="14">
        <v>6.6336999999999993E-2</v>
      </c>
      <c r="D71" s="14">
        <v>9.2117000000000004E-2</v>
      </c>
    </row>
    <row r="72" spans="1:4">
      <c r="A72" s="13">
        <v>84</v>
      </c>
      <c r="B72" s="14">
        <v>6.2803999999999999E-2</v>
      </c>
      <c r="C72" s="14">
        <v>7.1168999999999996E-2</v>
      </c>
      <c r="D72" s="14">
        <v>0.101007</v>
      </c>
    </row>
    <row r="73" spans="1:4">
      <c r="A73" s="13">
        <v>85</v>
      </c>
      <c r="B73" s="14">
        <v>6.8515999999999994E-2</v>
      </c>
      <c r="C73" s="14">
        <v>7.6199000000000003E-2</v>
      </c>
      <c r="D73" s="14">
        <v>0.1106</v>
      </c>
    </row>
    <row r="74" spans="1:4">
      <c r="A74" s="13">
        <v>86</v>
      </c>
      <c r="B74" s="14">
        <v>7.4661000000000005E-2</v>
      </c>
      <c r="C74" s="14">
        <v>8.1421999999999994E-2</v>
      </c>
      <c r="D74" s="14">
        <v>0.12092899999999999</v>
      </c>
    </row>
    <row r="75" spans="1:4">
      <c r="A75" s="13">
        <v>87</v>
      </c>
      <c r="B75" s="14">
        <v>8.1257999999999997E-2</v>
      </c>
      <c r="C75" s="14">
        <v>8.6827000000000001E-2</v>
      </c>
      <c r="D75" s="14">
        <v>0.13202800000000001</v>
      </c>
    </row>
    <row r="76" spans="1:4">
      <c r="A76" s="13">
        <v>88</v>
      </c>
      <c r="B76" s="14">
        <v>8.8331000000000007E-2</v>
      </c>
      <c r="C76" s="14">
        <v>9.2405000000000001E-2</v>
      </c>
      <c r="D76" s="14">
        <v>0.143929</v>
      </c>
    </row>
    <row r="77" spans="1:4">
      <c r="A77" s="13">
        <v>89</v>
      </c>
      <c r="B77" s="14">
        <v>9.5902000000000001E-2</v>
      </c>
      <c r="C77" s="14">
        <v>9.8143999999999995E-2</v>
      </c>
      <c r="D77" s="14">
        <v>0.15665999999999999</v>
      </c>
    </row>
    <row r="78" spans="1:4">
      <c r="A78" s="13">
        <v>90</v>
      </c>
      <c r="B78" s="14">
        <v>0.10399</v>
      </c>
      <c r="C78" s="14">
        <v>0.104031</v>
      </c>
      <c r="D78" s="14">
        <v>0.17024700000000001</v>
      </c>
    </row>
    <row r="79" spans="1:4">
      <c r="A79" s="13">
        <v>91</v>
      </c>
      <c r="B79" s="14"/>
      <c r="C79" s="14">
        <v>0.110052</v>
      </c>
      <c r="D79" s="14">
        <v>0.18471399999999999</v>
      </c>
    </row>
    <row r="80" spans="1:4">
      <c r="A80" s="13">
        <v>92</v>
      </c>
      <c r="B80" s="14"/>
      <c r="C80" s="14"/>
      <c r="D80" s="14">
        <v>0.20007900000000001</v>
      </c>
    </row>
    <row r="81" spans="1:4">
      <c r="A81" s="13">
        <v>93</v>
      </c>
      <c r="B81" s="14"/>
      <c r="C81" s="14"/>
      <c r="D81" s="14">
        <v>0.21635399999999999</v>
      </c>
    </row>
    <row r="82" spans="1:4">
      <c r="A82" s="13">
        <v>94</v>
      </c>
      <c r="B82" s="14"/>
      <c r="C82" s="14"/>
      <c r="D82" s="14">
        <v>0.23354800000000001</v>
      </c>
    </row>
    <row r="83" spans="1:4">
      <c r="A83" s="13">
        <v>95</v>
      </c>
      <c r="B83" s="14"/>
      <c r="C83" s="14"/>
      <c r="D83" s="14">
        <v>0.251662</v>
      </c>
    </row>
    <row r="84" spans="1:4">
      <c r="A84" s="13">
        <v>96</v>
      </c>
      <c r="B84" s="14"/>
      <c r="C84" s="14"/>
      <c r="D84" s="14">
        <v>0.27068799999999998</v>
      </c>
    </row>
    <row r="85" spans="1:4">
      <c r="A85" s="13">
        <v>97</v>
      </c>
      <c r="B85" s="14"/>
      <c r="C85" s="14"/>
      <c r="D85" s="14">
        <v>0.29061300000000001</v>
      </c>
    </row>
    <row r="86" spans="1:4">
      <c r="A86" s="13">
        <v>98</v>
      </c>
      <c r="B86" s="14"/>
      <c r="C86" s="14"/>
      <c r="D86" s="14">
        <v>0.31141400000000002</v>
      </c>
    </row>
    <row r="87" spans="1:4">
      <c r="A87" s="13">
        <v>99</v>
      </c>
      <c r="B87" s="14"/>
      <c r="C87" s="14"/>
      <c r="D87" s="14">
        <v>0.33305800000000002</v>
      </c>
    </row>
    <row r="88" spans="1:4">
      <c r="A88" s="13">
        <v>100</v>
      </c>
      <c r="B88" s="14"/>
      <c r="C88" s="14"/>
      <c r="D88" s="14">
        <v>0.35550500000000002</v>
      </c>
    </row>
    <row r="89" spans="1:4">
      <c r="A89" s="13">
        <v>101</v>
      </c>
      <c r="B89" s="14"/>
      <c r="C89" s="14"/>
      <c r="D89" s="14">
        <v>0.37870199999999998</v>
      </c>
    </row>
    <row r="90" spans="1:4">
      <c r="A90" s="13">
        <v>102</v>
      </c>
      <c r="B90" s="14"/>
      <c r="C90" s="14"/>
      <c r="D90" s="14">
        <v>0.402588</v>
      </c>
    </row>
    <row r="91" spans="1:4">
      <c r="A91" s="13">
        <v>103</v>
      </c>
      <c r="B91" s="14"/>
      <c r="C91" s="14"/>
      <c r="D91" s="14">
        <v>0.42709000000000003</v>
      </c>
    </row>
    <row r="92" spans="1:4">
      <c r="A92" s="13">
        <v>104</v>
      </c>
      <c r="B92" s="14"/>
      <c r="C92" s="14"/>
      <c r="D92" s="14">
        <v>0.452127</v>
      </c>
    </row>
    <row r="93" spans="1:4">
      <c r="A93" s="13">
        <v>105</v>
      </c>
      <c r="B93" s="14"/>
      <c r="C93" s="14"/>
      <c r="D93" s="14">
        <v>0.47760799999999998</v>
      </c>
    </row>
    <row r="94" spans="1:4">
      <c r="A94" s="13">
        <v>106</v>
      </c>
      <c r="B94" s="14"/>
      <c r="C94" s="14"/>
      <c r="D94" s="14">
        <v>0.50343199999999999</v>
      </c>
    </row>
    <row r="95" spans="1:4">
      <c r="A95" s="13">
        <v>107</v>
      </c>
      <c r="B95" s="14"/>
      <c r="C95" s="14"/>
      <c r="D95" s="14">
        <v>0.52949299999999999</v>
      </c>
    </row>
    <row r="96" spans="1:4">
      <c r="A96" s="13">
        <v>108</v>
      </c>
      <c r="B96" s="14"/>
      <c r="C96" s="14"/>
      <c r="D96" s="14">
        <v>0.555674</v>
      </c>
    </row>
    <row r="97" spans="1:4">
      <c r="A97" s="13">
        <v>109</v>
      </c>
      <c r="B97" s="14"/>
      <c r="C97" s="14"/>
      <c r="D97" s="14">
        <v>0.58185699999999996</v>
      </c>
    </row>
    <row r="98" spans="1:4">
      <c r="A98" s="13">
        <v>110</v>
      </c>
      <c r="B98" s="14"/>
      <c r="C98" s="14"/>
      <c r="D98" s="14">
        <v>0.60791799999999996</v>
      </c>
    </row>
    <row r="99" spans="1:4">
      <c r="A99" s="13">
        <v>111</v>
      </c>
      <c r="B99" s="14"/>
      <c r="C99" s="14"/>
      <c r="D99" s="14">
        <v>0.63373100000000004</v>
      </c>
    </row>
    <row r="100" spans="1:4">
      <c r="A100" s="13">
        <v>112</v>
      </c>
      <c r="B100" s="14"/>
      <c r="C100" s="14"/>
      <c r="D100" s="14">
        <v>0.65917099999999995</v>
      </c>
    </row>
    <row r="101" spans="1:4">
      <c r="A101" s="13">
        <v>113</v>
      </c>
      <c r="B101" s="14"/>
      <c r="C101" s="14"/>
      <c r="D101" s="14">
        <v>0.684114</v>
      </c>
    </row>
    <row r="102" spans="1:4">
      <c r="A102" s="13">
        <v>114</v>
      </c>
      <c r="B102" s="14"/>
      <c r="C102" s="14"/>
      <c r="D102" s="14">
        <v>0.70844200000000002</v>
      </c>
    </row>
    <row r="103" spans="1:4">
      <c r="A103" s="13">
        <v>115</v>
      </c>
      <c r="B103" s="14"/>
      <c r="C103" s="14"/>
      <c r="D103" s="14">
        <v>0.73204199999999997</v>
      </c>
    </row>
    <row r="104" spans="1:4">
      <c r="A104" s="13">
        <v>116</v>
      </c>
      <c r="B104" s="14"/>
      <c r="C104" s="14"/>
      <c r="D104" s="14">
        <v>0.75480899999999995</v>
      </c>
    </row>
    <row r="105" spans="1:4">
      <c r="A105" s="13">
        <v>117</v>
      </c>
      <c r="B105" s="14"/>
      <c r="C105" s="14"/>
      <c r="D105" s="14">
        <v>0.77664800000000001</v>
      </c>
    </row>
    <row r="106" spans="1:4">
      <c r="A106" s="13">
        <v>118</v>
      </c>
      <c r="B106" s="14"/>
      <c r="C106" s="14"/>
      <c r="D106" s="14">
        <v>0.79747699999999999</v>
      </c>
    </row>
    <row r="107" spans="1:4">
      <c r="A107" s="13">
        <v>119</v>
      </c>
      <c r="B107" s="14"/>
      <c r="C107" s="14"/>
      <c r="D107" s="14">
        <v>0.81722499999999998</v>
      </c>
    </row>
    <row r="108" spans="1:4">
      <c r="A108" s="13">
        <v>120</v>
      </c>
      <c r="B108" s="14"/>
      <c r="C108" s="14"/>
      <c r="D108" s="14">
        <v>1</v>
      </c>
    </row>
  </sheetData>
  <mergeCells count="1">
    <mergeCell ref="A1:D1"/>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4"/>
  <sheetViews>
    <sheetView showGridLines="0" zoomScaleNormal="100" workbookViewId="0">
      <pane ySplit="1" topLeftCell="A2" activePane="bottomLeft" state="frozen"/>
      <selection pane="bottomLeft" activeCell="S12" sqref="S12:S19"/>
      <selection activeCell="B4" sqref="B4"/>
    </sheetView>
  </sheetViews>
  <sheetFormatPr defaultColWidth="8.7109375" defaultRowHeight="15" zeroHeight="1"/>
  <cols>
    <col min="1" max="1" width="9.140625" customWidth="1"/>
    <col min="2" max="2" width="11" customWidth="1"/>
    <col min="3" max="5" width="12.7109375" customWidth="1"/>
    <col min="6" max="6" width="11.5703125" customWidth="1"/>
    <col min="7" max="7" width="12.5703125" customWidth="1"/>
    <col min="8" max="10" width="13.5703125" customWidth="1"/>
    <col min="11" max="11" width="13.85546875" customWidth="1"/>
    <col min="12" max="16" width="15.5703125" customWidth="1"/>
    <col min="18" max="18" width="16.28515625" customWidth="1"/>
    <col min="20" max="20" width="17.7109375" customWidth="1"/>
    <col min="21" max="21" width="16.28515625" customWidth="1"/>
    <col min="23" max="23" width="9.85546875" customWidth="1"/>
  </cols>
  <sheetData>
    <row r="1" spans="1:19" ht="44.25" customHeight="1">
      <c r="A1" s="15" t="s">
        <v>14</v>
      </c>
      <c r="B1" s="15"/>
      <c r="C1" s="15"/>
      <c r="D1" s="15"/>
      <c r="E1" s="15"/>
      <c r="F1" s="15"/>
      <c r="G1" s="15"/>
      <c r="H1" s="15"/>
      <c r="I1" s="82" t="s">
        <v>4</v>
      </c>
      <c r="J1" s="82"/>
      <c r="K1" s="82"/>
      <c r="L1" s="83" t="s">
        <v>5</v>
      </c>
      <c r="M1" s="83"/>
      <c r="N1" s="83"/>
    </row>
    <row r="2" spans="1:19" ht="18" customHeight="1">
      <c r="A2" s="15"/>
      <c r="B2" s="15"/>
      <c r="C2" s="15"/>
      <c r="D2" s="15"/>
      <c r="E2" s="15"/>
      <c r="F2" s="15"/>
      <c r="G2" s="15"/>
      <c r="H2" s="15"/>
    </row>
    <row r="3" spans="1:19" ht="15" customHeight="1">
      <c r="B3" s="84" t="s">
        <v>15</v>
      </c>
      <c r="C3" s="84"/>
      <c r="D3" s="16">
        <v>1000000</v>
      </c>
    </row>
    <row r="4" spans="1:19" ht="15" customHeight="1">
      <c r="B4" s="80" t="s">
        <v>16</v>
      </c>
      <c r="C4" s="80"/>
      <c r="D4" s="16">
        <v>500000</v>
      </c>
    </row>
    <row r="5" spans="1:19" ht="15" customHeight="1">
      <c r="B5" s="80" t="s">
        <v>17</v>
      </c>
      <c r="C5" s="80"/>
      <c r="D5" s="16">
        <v>2000000</v>
      </c>
    </row>
    <row r="6" spans="1:19" ht="15" customHeight="1">
      <c r="B6" s="80" t="s">
        <v>18</v>
      </c>
      <c r="C6" s="80"/>
      <c r="D6" s="17">
        <v>7.4999999999999997E-2</v>
      </c>
    </row>
    <row r="9" spans="1:19" ht="33.75" customHeight="1">
      <c r="A9" s="15" t="s">
        <v>19</v>
      </c>
      <c r="B9" s="15"/>
      <c r="D9" s="15"/>
      <c r="O9" s="15"/>
      <c r="P9" s="15"/>
    </row>
    <row r="10" spans="1:19" ht="12.75" customHeight="1">
      <c r="A10" s="15"/>
      <c r="B10" s="15"/>
      <c r="D10" s="15"/>
    </row>
    <row r="11" spans="1:19" ht="18.75" customHeight="1">
      <c r="A11" s="15"/>
      <c r="B11" s="80" t="s">
        <v>20</v>
      </c>
      <c r="C11" s="80"/>
      <c r="D11" s="80"/>
      <c r="E11" s="18">
        <f>SUM(K14:M23)</f>
        <v>899992.06840670819</v>
      </c>
      <c r="F11" s="19"/>
    </row>
    <row r="12" spans="1:19">
      <c r="C12" s="20"/>
      <c r="D12" s="20"/>
      <c r="E12" s="20"/>
      <c r="F12" s="20"/>
      <c r="G12" s="20"/>
      <c r="H12" s="20"/>
      <c r="I12" s="20"/>
      <c r="J12" s="20"/>
      <c r="K12" s="20"/>
      <c r="L12" s="20"/>
      <c r="M12" s="20"/>
    </row>
    <row r="13" spans="1:19" ht="30" customHeight="1">
      <c r="A13" s="2" t="s">
        <v>21</v>
      </c>
      <c r="B13" s="2" t="s">
        <v>22</v>
      </c>
      <c r="C13" s="2" t="s">
        <v>23</v>
      </c>
      <c r="D13" s="2" t="s">
        <v>24</v>
      </c>
      <c r="E13" s="2" t="s">
        <v>25</v>
      </c>
      <c r="F13" s="2" t="s">
        <v>26</v>
      </c>
      <c r="G13" s="2" t="s">
        <v>27</v>
      </c>
      <c r="H13" s="2" t="s">
        <v>28</v>
      </c>
      <c r="I13" s="2" t="s">
        <v>29</v>
      </c>
      <c r="J13" s="2" t="s">
        <v>30</v>
      </c>
      <c r="K13" s="2" t="s">
        <v>31</v>
      </c>
      <c r="L13" s="2" t="s">
        <v>32</v>
      </c>
      <c r="M13" s="2" t="s">
        <v>33</v>
      </c>
      <c r="O13" s="81" t="s">
        <v>34</v>
      </c>
      <c r="P13" s="81"/>
      <c r="Q13" s="81"/>
      <c r="R13" s="21">
        <f>SUMPRODUCT(I14:I23,J14:J23)</f>
        <v>6.9004903087116958</v>
      </c>
      <c r="S13" s="19"/>
    </row>
    <row r="14" spans="1:19">
      <c r="A14" s="22">
        <v>1</v>
      </c>
      <c r="B14" s="23">
        <v>65</v>
      </c>
      <c r="C14" s="24">
        <f>VLOOKUP(B14,'AM92'!A5:D108,4,0)</f>
        <v>1.4243E-2</v>
      </c>
      <c r="D14" s="24">
        <f t="shared" ref="D14:D23" si="0">-LN(1-C14)*75%</f>
        <v>1.0759053793221033E-2</v>
      </c>
      <c r="E14" s="24">
        <f t="shared" ref="E14:E23" si="1">20%*D14</f>
        <v>2.1518107586442066E-3</v>
      </c>
      <c r="F14" s="24">
        <f t="shared" ref="F14:F23" si="2">$D14/($E14+$D14)*(1-EXP(-$D14-$E14))</f>
        <v>1.068989739301603E-2</v>
      </c>
      <c r="G14" s="24">
        <f t="shared" ref="G14:G23" si="3">$E14/($E14+$D14)*(1-EXP(-$D14-$E14))</f>
        <v>2.137979478603206E-3</v>
      </c>
      <c r="H14" s="24">
        <f t="shared" ref="H14:H23" si="4">1-F14-G14</f>
        <v>0.98717212312838076</v>
      </c>
      <c r="I14" s="24">
        <v>1</v>
      </c>
      <c r="J14" s="24">
        <v>1</v>
      </c>
      <c r="K14" s="18">
        <f t="shared" ref="K14:K23" si="5">I14*F14*J15*$D$3*(1+$D$6)^0.5</f>
        <v>10310.25257504036</v>
      </c>
      <c r="L14" s="18">
        <f t="shared" ref="L14:L23" si="6">J15*G14*I14*$D$4*(1+$D$6)^0.5</f>
        <v>1031.0252575040361</v>
      </c>
      <c r="M14" s="18"/>
    </row>
    <row r="15" spans="1:19">
      <c r="A15" s="22">
        <v>2</v>
      </c>
      <c r="B15" s="23">
        <f t="shared" ref="B15:B23" si="7">B14+1</f>
        <v>66</v>
      </c>
      <c r="C15" s="24">
        <f>VLOOKUP(B15,'AM92'!A6:D109,4,0)</f>
        <v>1.5939999999999999E-2</v>
      </c>
      <c r="D15" s="24">
        <f t="shared" si="0"/>
        <v>1.205130613429831E-2</v>
      </c>
      <c r="E15" s="24">
        <f t="shared" si="1"/>
        <v>2.410261226859662E-3</v>
      </c>
      <c r="F15" s="24">
        <f t="shared" si="2"/>
        <v>1.196458429446092E-2</v>
      </c>
      <c r="G15" s="24">
        <f t="shared" si="3"/>
        <v>2.3929168588921841E-3</v>
      </c>
      <c r="H15" s="24">
        <f t="shared" si="4"/>
        <v>0.9856424988466469</v>
      </c>
      <c r="I15" s="24">
        <f t="shared" ref="I15:I24" si="8">I14*H14</f>
        <v>0.98717212312838076</v>
      </c>
      <c r="J15" s="24">
        <f>1/(1+$D$6)</f>
        <v>0.93023255813953487</v>
      </c>
      <c r="K15" s="18">
        <f t="shared" si="5"/>
        <v>10596.874724907666</v>
      </c>
      <c r="L15" s="18">
        <f t="shared" si="6"/>
        <v>1059.6874724907668</v>
      </c>
      <c r="M15" s="18"/>
      <c r="O15" s="81" t="s">
        <v>35</v>
      </c>
      <c r="P15" s="81"/>
      <c r="Q15" s="81"/>
      <c r="R15" s="18">
        <f>E11/R13</f>
        <v>130424.36524698698</v>
      </c>
      <c r="S15" s="19"/>
    </row>
    <row r="16" spans="1:19">
      <c r="A16" s="22">
        <v>3</v>
      </c>
      <c r="B16" s="23">
        <f t="shared" si="7"/>
        <v>67</v>
      </c>
      <c r="C16" s="24">
        <f>VLOOKUP(B16,'AM92'!A7:D110,4,0)</f>
        <v>1.7824E-2</v>
      </c>
      <c r="D16" s="24">
        <f t="shared" si="0"/>
        <v>1.348857046312339E-2</v>
      </c>
      <c r="E16" s="24">
        <f t="shared" si="1"/>
        <v>2.6977140926246783E-3</v>
      </c>
      <c r="F16" s="24">
        <f t="shared" si="2"/>
        <v>1.337999215902469E-2</v>
      </c>
      <c r="G16" s="24">
        <f t="shared" si="3"/>
        <v>2.6759984318049383E-3</v>
      </c>
      <c r="H16" s="24">
        <f t="shared" si="4"/>
        <v>0.98394400940917026</v>
      </c>
      <c r="I16" s="24">
        <f t="shared" si="8"/>
        <v>0.97299879823200697</v>
      </c>
      <c r="J16" s="24">
        <f t="shared" ref="J16:J24" si="9">J15/(1+$D$6)</f>
        <v>0.86533261222282321</v>
      </c>
      <c r="K16" s="18">
        <f t="shared" si="5"/>
        <v>10865.432099943506</v>
      </c>
      <c r="L16" s="18">
        <f t="shared" si="6"/>
        <v>1086.5432099943507</v>
      </c>
      <c r="M16" s="18"/>
    </row>
    <row r="17" spans="1:19" ht="33.75" customHeight="1">
      <c r="A17" s="22">
        <v>4</v>
      </c>
      <c r="B17" s="23">
        <f t="shared" si="7"/>
        <v>68</v>
      </c>
      <c r="C17" s="24">
        <f>VLOOKUP(B17,'AM92'!A8:D111,4,0)</f>
        <v>1.9913E-2</v>
      </c>
      <c r="D17" s="24">
        <f t="shared" si="0"/>
        <v>1.5085451810720798E-2</v>
      </c>
      <c r="E17" s="24">
        <f t="shared" si="1"/>
        <v>3.0170903621441598E-3</v>
      </c>
      <c r="F17" s="24">
        <f t="shared" si="2"/>
        <v>1.4949729503813309E-2</v>
      </c>
      <c r="G17" s="24">
        <f t="shared" si="3"/>
        <v>2.9899459007626623E-3</v>
      </c>
      <c r="H17" s="24">
        <f t="shared" si="4"/>
        <v>0.98206032459542403</v>
      </c>
      <c r="I17" s="24">
        <f t="shared" si="8"/>
        <v>0.95737633868270522</v>
      </c>
      <c r="J17" s="24">
        <f t="shared" si="9"/>
        <v>0.80496056950960304</v>
      </c>
      <c r="K17" s="18">
        <f t="shared" si="5"/>
        <v>11111.850753875557</v>
      </c>
      <c r="L17" s="18">
        <f t="shared" si="6"/>
        <v>1111.185075387556</v>
      </c>
      <c r="M17" s="18"/>
      <c r="N17" s="15" t="s">
        <v>36</v>
      </c>
      <c r="O17" s="81" t="s">
        <v>37</v>
      </c>
      <c r="P17" s="81"/>
      <c r="Q17" s="81"/>
      <c r="R17" s="18">
        <f>(E11-M23)/R13</f>
        <v>17997.506557968492</v>
      </c>
      <c r="S17" s="19"/>
    </row>
    <row r="18" spans="1:19">
      <c r="A18" s="22">
        <v>5</v>
      </c>
      <c r="B18" s="23">
        <f t="shared" si="7"/>
        <v>69</v>
      </c>
      <c r="C18" s="24">
        <f>VLOOKUP(B18,'AM92'!A9:D112,4,0)</f>
        <v>2.2225999999999999E-2</v>
      </c>
      <c r="D18" s="24">
        <f t="shared" si="0"/>
        <v>1.6857539621914545E-2</v>
      </c>
      <c r="E18" s="24">
        <f t="shared" si="1"/>
        <v>3.3715079243829093E-3</v>
      </c>
      <c r="F18" s="24">
        <f t="shared" si="2"/>
        <v>1.6688177570199726E-2</v>
      </c>
      <c r="G18" s="24">
        <f t="shared" si="3"/>
        <v>3.3376355140399463E-3</v>
      </c>
      <c r="H18" s="24">
        <f t="shared" si="4"/>
        <v>0.97997418691576033</v>
      </c>
      <c r="I18" s="24">
        <f t="shared" si="8"/>
        <v>0.94020131792671613</v>
      </c>
      <c r="J18" s="24">
        <f t="shared" si="9"/>
        <v>0.7488005297763749</v>
      </c>
      <c r="K18" s="18">
        <f t="shared" si="5"/>
        <v>11331.611557886516</v>
      </c>
      <c r="L18" s="18">
        <f t="shared" si="6"/>
        <v>1133.1611557886517</v>
      </c>
      <c r="M18" s="18"/>
    </row>
    <row r="19" spans="1:19">
      <c r="A19" s="22">
        <v>6</v>
      </c>
      <c r="B19" s="23">
        <f t="shared" si="7"/>
        <v>70</v>
      </c>
      <c r="C19" s="24">
        <f>VLOOKUP(B19,'AM92'!A10:D113,4,0)</f>
        <v>2.4782999999999999E-2</v>
      </c>
      <c r="D19" s="24">
        <f t="shared" si="0"/>
        <v>1.8821451484081032E-2</v>
      </c>
      <c r="E19" s="24">
        <f t="shared" si="1"/>
        <v>3.7642902968162066E-3</v>
      </c>
      <c r="F19" s="24">
        <f t="shared" si="2"/>
        <v>1.8610494454228223E-2</v>
      </c>
      <c r="G19" s="24">
        <f t="shared" si="3"/>
        <v>3.7220988908456456E-3</v>
      </c>
      <c r="H19" s="24">
        <f t="shared" si="4"/>
        <v>0.97766740665492613</v>
      </c>
      <c r="I19" s="24">
        <f t="shared" si="8"/>
        <v>0.92137302207235994</v>
      </c>
      <c r="J19" s="24">
        <f t="shared" si="9"/>
        <v>0.69655863235011617</v>
      </c>
      <c r="K19" s="18">
        <f t="shared" si="5"/>
        <v>11519.850695243531</v>
      </c>
      <c r="L19" s="18">
        <f t="shared" si="6"/>
        <v>1151.9850695243535</v>
      </c>
      <c r="M19" s="18"/>
    </row>
    <row r="20" spans="1:19">
      <c r="A20" s="22">
        <v>7</v>
      </c>
      <c r="B20" s="23">
        <f t="shared" si="7"/>
        <v>71</v>
      </c>
      <c r="C20" s="24">
        <f>VLOOKUP(B20,'AM92'!A11:D114,4,0)</f>
        <v>2.7605999999999999E-2</v>
      </c>
      <c r="D20" s="24">
        <f t="shared" si="0"/>
        <v>2.0995655144619828E-2</v>
      </c>
      <c r="E20" s="24">
        <f t="shared" si="1"/>
        <v>4.1991310289239657E-3</v>
      </c>
      <c r="F20" s="24">
        <f t="shared" si="2"/>
        <v>2.073337196351388E-2</v>
      </c>
      <c r="G20" s="24">
        <f t="shared" si="3"/>
        <v>4.146674392702776E-3</v>
      </c>
      <c r="H20" s="24">
        <f t="shared" si="4"/>
        <v>0.97511995364378334</v>
      </c>
      <c r="I20" s="24">
        <f t="shared" si="8"/>
        <v>0.90079637305129612</v>
      </c>
      <c r="J20" s="24">
        <f t="shared" si="9"/>
        <v>0.64796151846522432</v>
      </c>
      <c r="K20" s="18">
        <f t="shared" si="5"/>
        <v>11671.899794097026</v>
      </c>
      <c r="L20" s="18">
        <f t="shared" si="6"/>
        <v>1167.1899794097026</v>
      </c>
      <c r="M20" s="18"/>
    </row>
    <row r="21" spans="1:19">
      <c r="A21" s="22">
        <v>8</v>
      </c>
      <c r="B21" s="23">
        <f t="shared" si="7"/>
        <v>72</v>
      </c>
      <c r="C21" s="24">
        <f>VLOOKUP(B21,'AM92'!A12:D115,4,0)</f>
        <v>3.0717999999999999E-2</v>
      </c>
      <c r="D21" s="24">
        <f t="shared" si="0"/>
        <v>2.339976581860264E-2</v>
      </c>
      <c r="E21" s="24">
        <f t="shared" si="1"/>
        <v>4.6799531637205282E-3</v>
      </c>
      <c r="F21" s="24">
        <f t="shared" si="2"/>
        <v>2.3074289933365799E-2</v>
      </c>
      <c r="G21" s="24">
        <f t="shared" si="3"/>
        <v>4.6148579866731607E-3</v>
      </c>
      <c r="H21" s="24">
        <f t="shared" si="4"/>
        <v>0.97231085207996104</v>
      </c>
      <c r="I21" s="24">
        <f t="shared" si="8"/>
        <v>0.87838451753226798</v>
      </c>
      <c r="J21" s="24">
        <f t="shared" si="9"/>
        <v>0.60275490089788308</v>
      </c>
      <c r="K21" s="18">
        <f t="shared" si="5"/>
        <v>11782.827935004938</v>
      </c>
      <c r="L21" s="18">
        <f t="shared" si="6"/>
        <v>1178.2827935004939</v>
      </c>
      <c r="M21" s="18"/>
    </row>
    <row r="22" spans="1:19">
      <c r="A22" s="22">
        <v>9</v>
      </c>
      <c r="B22" s="23">
        <f t="shared" si="7"/>
        <v>73</v>
      </c>
      <c r="C22" s="24">
        <f>VLOOKUP(B22,'AM92'!A13:D116,4,0)</f>
        <v>3.4144000000000001E-2</v>
      </c>
      <c r="D22" s="24">
        <f t="shared" si="0"/>
        <v>2.6055393153290342E-2</v>
      </c>
      <c r="E22" s="24">
        <f t="shared" si="1"/>
        <v>5.2110786306580684E-3</v>
      </c>
      <c r="F22" s="24">
        <f t="shared" si="2"/>
        <v>2.5652275327170404E-2</v>
      </c>
      <c r="G22" s="24">
        <f t="shared" si="3"/>
        <v>5.1304550654340808E-3</v>
      </c>
      <c r="H22" s="24">
        <f t="shared" si="4"/>
        <v>0.96921726960739552</v>
      </c>
      <c r="I22" s="24">
        <f t="shared" si="8"/>
        <v>0.85406279869564494</v>
      </c>
      <c r="J22" s="24">
        <f t="shared" si="9"/>
        <v>0.56070223339337966</v>
      </c>
      <c r="K22" s="18">
        <f t="shared" si="5"/>
        <v>11847.964703413338</v>
      </c>
      <c r="L22" s="18">
        <f t="shared" si="6"/>
        <v>1184.7964703413338</v>
      </c>
      <c r="M22" s="18"/>
    </row>
    <row r="23" spans="1:19">
      <c r="A23" s="22">
        <v>10</v>
      </c>
      <c r="B23" s="23">
        <f t="shared" si="7"/>
        <v>74</v>
      </c>
      <c r="C23" s="24">
        <f>VLOOKUP(B23,'AM92'!A14:D117,4,0)</f>
        <v>3.7911E-2</v>
      </c>
      <c r="D23" s="24">
        <f t="shared" si="0"/>
        <v>2.8986237752413872E-2</v>
      </c>
      <c r="E23" s="24">
        <f t="shared" si="1"/>
        <v>5.797247550482775E-3</v>
      </c>
      <c r="F23" s="24">
        <f t="shared" si="2"/>
        <v>2.8487911119546478E-2</v>
      </c>
      <c r="G23" s="24">
        <f t="shared" si="3"/>
        <v>5.6975822239092961E-3</v>
      </c>
      <c r="H23" s="24">
        <f t="shared" si="4"/>
        <v>0.96581450665654422</v>
      </c>
      <c r="I23" s="24">
        <f t="shared" si="8"/>
        <v>0.82777241382504363</v>
      </c>
      <c r="J23" s="24">
        <f t="shared" si="9"/>
        <v>0.52158347292407414</v>
      </c>
      <c r="K23" s="18">
        <f t="shared" si="5"/>
        <v>11862.907509893736</v>
      </c>
      <c r="L23" s="18">
        <f t="shared" si="6"/>
        <v>1186.2907509893735</v>
      </c>
      <c r="M23" s="18">
        <f>I24*D5*J24</f>
        <v>775800.44882247143</v>
      </c>
    </row>
    <row r="24" spans="1:19">
      <c r="C24" s="25"/>
      <c r="D24" s="25"/>
      <c r="E24" s="26"/>
      <c r="F24" s="26"/>
      <c r="G24" s="25"/>
      <c r="H24" s="25"/>
      <c r="I24" s="24">
        <f t="shared" si="8"/>
        <v>0.79947460548233129</v>
      </c>
      <c r="J24" s="24">
        <f t="shared" si="9"/>
        <v>0.48519392830146435</v>
      </c>
      <c r="K24" s="27"/>
      <c r="L24" s="27"/>
      <c r="M24" s="28"/>
      <c r="N24" s="29"/>
      <c r="O24" s="28"/>
      <c r="P24" s="26"/>
    </row>
    <row r="25" spans="1:19">
      <c r="C25" s="25"/>
      <c r="D25" s="25"/>
      <c r="E25" s="26"/>
      <c r="F25" s="26"/>
      <c r="G25" s="25"/>
      <c r="H25" s="25"/>
      <c r="I25" s="27"/>
      <c r="J25" s="27"/>
      <c r="K25" s="27"/>
      <c r="L25" s="27"/>
      <c r="M25" s="28"/>
      <c r="N25" s="29"/>
      <c r="O25" s="28"/>
      <c r="P25" s="26"/>
    </row>
    <row r="28" spans="1:19" ht="33.75" customHeight="1">
      <c r="A28" s="15" t="s">
        <v>38</v>
      </c>
      <c r="B28" s="15"/>
      <c r="C28" s="15"/>
    </row>
    <row r="30" spans="1:19" ht="15" customHeight="1">
      <c r="B30" s="79" t="s">
        <v>39</v>
      </c>
      <c r="C30" s="79"/>
      <c r="D30" s="79"/>
      <c r="E30" s="79"/>
      <c r="F30" s="79"/>
      <c r="G30" s="79"/>
      <c r="H30" s="79"/>
      <c r="I30" s="79"/>
      <c r="J30" s="30"/>
    </row>
    <row r="31" spans="1:19" ht="18.75" customHeight="1">
      <c r="B31" s="79"/>
      <c r="C31" s="79"/>
      <c r="D31" s="79"/>
      <c r="E31" s="79"/>
      <c r="F31" s="79"/>
      <c r="G31" s="79"/>
      <c r="H31" s="79"/>
      <c r="I31" s="79"/>
      <c r="J31" s="31"/>
    </row>
    <row r="32" spans="1:19">
      <c r="B32" s="79"/>
      <c r="C32" s="79"/>
      <c r="D32" s="79"/>
      <c r="E32" s="79"/>
      <c r="F32" s="79"/>
      <c r="G32" s="79"/>
      <c r="H32" s="79"/>
      <c r="I32" s="79"/>
    </row>
    <row r="33" spans="1:10">
      <c r="B33" s="79"/>
      <c r="C33" s="79"/>
      <c r="D33" s="79"/>
      <c r="E33" s="79"/>
      <c r="F33" s="79"/>
      <c r="G33" s="79"/>
      <c r="H33" s="79"/>
      <c r="I33" s="79"/>
    </row>
    <row r="34" spans="1:10">
      <c r="B34" s="79"/>
      <c r="C34" s="79"/>
      <c r="D34" s="79"/>
      <c r="E34" s="79"/>
      <c r="F34" s="79"/>
      <c r="G34" s="79"/>
      <c r="H34" s="79"/>
      <c r="I34" s="79"/>
    </row>
    <row r="37" spans="1:10" ht="33.75" customHeight="1">
      <c r="A37" s="15" t="s">
        <v>40</v>
      </c>
      <c r="B37" s="15"/>
      <c r="C37" s="15"/>
    </row>
    <row r="39" spans="1:10" ht="14.25" customHeight="1">
      <c r="B39" s="79" t="s">
        <v>41</v>
      </c>
      <c r="C39" s="79"/>
      <c r="D39" s="79"/>
      <c r="E39" s="79"/>
      <c r="F39" s="79"/>
      <c r="G39" s="79"/>
      <c r="H39" s="79"/>
      <c r="I39" s="79"/>
    </row>
    <row r="40" spans="1:10" ht="18.75" customHeight="1">
      <c r="B40" s="79"/>
      <c r="C40" s="79"/>
      <c r="D40" s="79"/>
      <c r="E40" s="79"/>
      <c r="F40" s="79"/>
      <c r="G40" s="79"/>
      <c r="H40" s="79"/>
      <c r="I40" s="79"/>
      <c r="J40" s="31"/>
    </row>
    <row r="41" spans="1:10">
      <c r="B41" s="79"/>
      <c r="C41" s="79"/>
      <c r="D41" s="79"/>
      <c r="E41" s="79"/>
      <c r="F41" s="79"/>
      <c r="G41" s="79"/>
      <c r="H41" s="79"/>
      <c r="I41" s="79"/>
    </row>
    <row r="42" spans="1:10">
      <c r="B42" s="79"/>
      <c r="C42" s="79"/>
      <c r="D42" s="79"/>
      <c r="E42" s="79"/>
      <c r="F42" s="79"/>
      <c r="G42" s="79"/>
      <c r="H42" s="79"/>
      <c r="I42" s="79"/>
    </row>
    <row r="43" spans="1:10">
      <c r="B43" s="79"/>
      <c r="C43" s="79"/>
      <c r="D43" s="79"/>
      <c r="E43" s="79"/>
      <c r="F43" s="79"/>
      <c r="G43" s="79"/>
      <c r="H43" s="79"/>
      <c r="I43" s="79"/>
    </row>
    <row r="44" spans="1:10">
      <c r="B44" s="79"/>
      <c r="C44" s="79"/>
      <c r="D44" s="79"/>
      <c r="E44" s="79"/>
      <c r="F44" s="79"/>
      <c r="G44" s="79"/>
      <c r="H44" s="79"/>
      <c r="I44" s="79"/>
    </row>
  </sheetData>
  <mergeCells count="12">
    <mergeCell ref="I1:K1"/>
    <mergeCell ref="L1:N1"/>
    <mergeCell ref="B3:C3"/>
    <mergeCell ref="B4:C4"/>
    <mergeCell ref="B5:C5"/>
    <mergeCell ref="B30:I34"/>
    <mergeCell ref="B39:I44"/>
    <mergeCell ref="B6:C6"/>
    <mergeCell ref="B11:D11"/>
    <mergeCell ref="O13:Q13"/>
    <mergeCell ref="O15:Q15"/>
    <mergeCell ref="O17:Q17"/>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0"/>
  <sheetViews>
    <sheetView showGridLines="0" zoomScaleNormal="100" workbookViewId="0">
      <pane ySplit="1" topLeftCell="A2" activePane="bottomLeft" state="frozen"/>
      <selection pane="bottomLeft" activeCell="G17" sqref="C17:G17"/>
    </sheetView>
  </sheetViews>
  <sheetFormatPr defaultColWidth="0" defaultRowHeight="15" zeroHeight="1"/>
  <cols>
    <col min="1" max="1" width="9.140625" customWidth="1"/>
    <col min="2" max="2" width="16.85546875" customWidth="1"/>
    <col min="3" max="6" width="12.7109375" customWidth="1"/>
    <col min="7" max="7" width="14.7109375" customWidth="1"/>
    <col min="8" max="9" width="13.5703125" customWidth="1"/>
    <col min="10" max="15" width="15.5703125" customWidth="1"/>
    <col min="16" max="16384" width="8.7109375" hidden="1"/>
  </cols>
  <sheetData>
    <row r="1" spans="1:13" ht="44.25" customHeight="1">
      <c r="A1" s="15" t="s">
        <v>42</v>
      </c>
      <c r="B1" s="15"/>
      <c r="C1" s="15"/>
      <c r="D1" s="15"/>
      <c r="E1" s="15"/>
      <c r="F1" s="15"/>
      <c r="G1" s="15"/>
      <c r="H1" s="15"/>
      <c r="I1" s="82" t="s">
        <v>4</v>
      </c>
      <c r="J1" s="82"/>
      <c r="K1" s="83" t="s">
        <v>5</v>
      </c>
      <c r="L1" s="83"/>
      <c r="M1" s="83"/>
    </row>
    <row r="2" spans="1:13" ht="18" customHeight="1">
      <c r="A2" s="15"/>
      <c r="B2" s="15"/>
      <c r="C2" s="15"/>
      <c r="D2" s="15"/>
      <c r="E2" s="15"/>
      <c r="F2" s="15"/>
      <c r="G2" s="15"/>
      <c r="H2" s="15"/>
    </row>
    <row r="3" spans="1:13" ht="15" customHeight="1">
      <c r="B3" s="80" t="s">
        <v>43</v>
      </c>
      <c r="C3" s="80"/>
      <c r="D3" s="16">
        <v>10000</v>
      </c>
    </row>
    <row r="4" spans="1:13" ht="15" customHeight="1">
      <c r="B4" s="80" t="s">
        <v>44</v>
      </c>
      <c r="C4" s="80"/>
      <c r="D4" s="32">
        <v>0.75</v>
      </c>
    </row>
    <row r="5" spans="1:13" ht="28.35" customHeight="1">
      <c r="B5" s="80" t="s">
        <v>45</v>
      </c>
      <c r="C5" s="80"/>
      <c r="D5" s="17">
        <v>0.95</v>
      </c>
    </row>
    <row r="6" spans="1:13" ht="15" customHeight="1">
      <c r="B6" s="80" t="s">
        <v>46</v>
      </c>
      <c r="C6" s="80"/>
      <c r="D6" s="17">
        <v>0.05</v>
      </c>
    </row>
    <row r="7" spans="1:13" ht="15" customHeight="1">
      <c r="B7" s="80" t="s">
        <v>47</v>
      </c>
      <c r="C7" s="80"/>
      <c r="D7" s="17">
        <v>2.5000000000000001E-2</v>
      </c>
    </row>
    <row r="8" spans="1:13" ht="15" customHeight="1">
      <c r="B8" s="80" t="s">
        <v>48</v>
      </c>
      <c r="C8" s="80"/>
      <c r="D8" s="33">
        <v>500</v>
      </c>
    </row>
    <row r="9" spans="1:13" ht="15" customHeight="1">
      <c r="B9" s="80" t="s">
        <v>49</v>
      </c>
      <c r="C9" s="80"/>
      <c r="D9" s="16">
        <v>150</v>
      </c>
      <c r="E9" t="s">
        <v>50</v>
      </c>
    </row>
    <row r="10" spans="1:13" ht="15" customHeight="1">
      <c r="B10" s="80" t="s">
        <v>51</v>
      </c>
      <c r="C10" s="80"/>
      <c r="D10" s="32">
        <v>0.08</v>
      </c>
    </row>
    <row r="11" spans="1:13" ht="15" customHeight="1">
      <c r="B11" s="80" t="s">
        <v>52</v>
      </c>
      <c r="C11" s="80"/>
      <c r="D11" s="32">
        <v>0.06</v>
      </c>
    </row>
    <row r="12" spans="1:13" ht="15" customHeight="1">
      <c r="B12" s="80" t="s">
        <v>53</v>
      </c>
      <c r="C12" s="80"/>
      <c r="D12" s="32">
        <v>0.1</v>
      </c>
    </row>
    <row r="13" spans="1:13" ht="15" customHeight="1">
      <c r="B13" s="80" t="s">
        <v>15</v>
      </c>
      <c r="C13" s="80"/>
      <c r="D13" s="34">
        <v>3</v>
      </c>
      <c r="E13" t="s">
        <v>54</v>
      </c>
    </row>
    <row r="16" spans="1:13" ht="33.75" customHeight="1">
      <c r="A16" s="15" t="s">
        <v>55</v>
      </c>
      <c r="B16" s="15"/>
      <c r="C16" s="15"/>
    </row>
    <row r="17" spans="1:7">
      <c r="C17" s="20"/>
      <c r="D17" s="20"/>
      <c r="E17" s="20"/>
      <c r="F17" s="20"/>
      <c r="G17" s="20"/>
    </row>
    <row r="18" spans="1:7" ht="30" customHeight="1">
      <c r="A18" s="2" t="s">
        <v>21</v>
      </c>
      <c r="B18" s="2" t="s">
        <v>43</v>
      </c>
      <c r="C18" s="2" t="s">
        <v>56</v>
      </c>
      <c r="D18" s="2" t="s">
        <v>57</v>
      </c>
      <c r="E18" s="2" t="s">
        <v>58</v>
      </c>
      <c r="F18" s="2" t="s">
        <v>59</v>
      </c>
      <c r="G18" s="2" t="s">
        <v>60</v>
      </c>
    </row>
    <row r="19" spans="1:7">
      <c r="A19" s="22">
        <v>1</v>
      </c>
      <c r="B19" s="23">
        <f t="shared" ref="B19:B28" si="0">$D$3</f>
        <v>10000</v>
      </c>
      <c r="C19" s="18">
        <f>$B$19*(1-$D$6)*$D$4</f>
        <v>7125</v>
      </c>
      <c r="D19" s="18">
        <v>0</v>
      </c>
      <c r="E19" s="35">
        <f t="shared" ref="E19:E28" si="1">(D19+C19)*(1+$D$10)</f>
        <v>7695.0000000000009</v>
      </c>
      <c r="F19" s="18">
        <f t="shared" ref="F19:F28" si="2">E19*$D$7</f>
        <v>192.37500000000003</v>
      </c>
      <c r="G19" s="18">
        <f t="shared" ref="G19:G28" si="3">E19-F19</f>
        <v>7502.6250000000009</v>
      </c>
    </row>
    <row r="20" spans="1:7">
      <c r="A20" s="22">
        <v>2</v>
      </c>
      <c r="B20" s="23">
        <f t="shared" si="0"/>
        <v>10000</v>
      </c>
      <c r="C20" s="18">
        <f t="shared" ref="C20:C28" si="4">$B$19*(1-$D$6)*$D$5</f>
        <v>9025</v>
      </c>
      <c r="D20" s="18">
        <f t="shared" ref="D20:D28" si="5">G19</f>
        <v>7502.6250000000009</v>
      </c>
      <c r="E20" s="35">
        <f t="shared" si="1"/>
        <v>17849.835000000003</v>
      </c>
      <c r="F20" s="18">
        <f t="shared" si="2"/>
        <v>446.24587500000007</v>
      </c>
      <c r="G20" s="18">
        <f t="shared" si="3"/>
        <v>17403.589125000002</v>
      </c>
    </row>
    <row r="21" spans="1:7">
      <c r="A21" s="22">
        <v>3</v>
      </c>
      <c r="B21" s="23">
        <f t="shared" si="0"/>
        <v>10000</v>
      </c>
      <c r="C21" s="18">
        <f t="shared" si="4"/>
        <v>9025</v>
      </c>
      <c r="D21" s="18">
        <f t="shared" si="5"/>
        <v>17403.589125000002</v>
      </c>
      <c r="E21" s="35">
        <f t="shared" si="1"/>
        <v>28542.876255000003</v>
      </c>
      <c r="F21" s="18">
        <f t="shared" si="2"/>
        <v>713.57190637500014</v>
      </c>
      <c r="G21" s="18">
        <f t="shared" si="3"/>
        <v>27829.304348625003</v>
      </c>
    </row>
    <row r="22" spans="1:7">
      <c r="A22" s="22">
        <v>4</v>
      </c>
      <c r="B22" s="23">
        <f t="shared" si="0"/>
        <v>10000</v>
      </c>
      <c r="C22" s="18">
        <f t="shared" si="4"/>
        <v>9025</v>
      </c>
      <c r="D22" s="18">
        <f t="shared" si="5"/>
        <v>27829.304348625003</v>
      </c>
      <c r="E22" s="35">
        <f t="shared" si="1"/>
        <v>39802.648696515003</v>
      </c>
      <c r="F22" s="18">
        <f t="shared" si="2"/>
        <v>995.06621741287518</v>
      </c>
      <c r="G22" s="18">
        <f t="shared" si="3"/>
        <v>38807.58247910213</v>
      </c>
    </row>
    <row r="23" spans="1:7">
      <c r="A23" s="22">
        <v>5</v>
      </c>
      <c r="B23" s="23">
        <f t="shared" si="0"/>
        <v>10000</v>
      </c>
      <c r="C23" s="18">
        <f t="shared" si="4"/>
        <v>9025</v>
      </c>
      <c r="D23" s="18">
        <f t="shared" si="5"/>
        <v>38807.58247910213</v>
      </c>
      <c r="E23" s="35">
        <f t="shared" si="1"/>
        <v>51659.189077430303</v>
      </c>
      <c r="F23" s="18">
        <f t="shared" si="2"/>
        <v>1291.4797269357578</v>
      </c>
      <c r="G23" s="18">
        <f t="shared" si="3"/>
        <v>50367.709350494544</v>
      </c>
    </row>
    <row r="24" spans="1:7">
      <c r="A24" s="22">
        <v>6</v>
      </c>
      <c r="B24" s="23">
        <f t="shared" si="0"/>
        <v>10000</v>
      </c>
      <c r="C24" s="18">
        <f t="shared" si="4"/>
        <v>9025</v>
      </c>
      <c r="D24" s="18">
        <f t="shared" si="5"/>
        <v>50367.709350494544</v>
      </c>
      <c r="E24" s="35">
        <f t="shared" si="1"/>
        <v>64144.126098534114</v>
      </c>
      <c r="F24" s="18">
        <f t="shared" si="2"/>
        <v>1603.6031524633529</v>
      </c>
      <c r="G24" s="18">
        <f t="shared" si="3"/>
        <v>62540.522946070763</v>
      </c>
    </row>
    <row r="25" spans="1:7">
      <c r="A25" s="22">
        <v>7</v>
      </c>
      <c r="B25" s="23">
        <f t="shared" si="0"/>
        <v>10000</v>
      </c>
      <c r="C25" s="18">
        <f t="shared" si="4"/>
        <v>9025</v>
      </c>
      <c r="D25" s="18">
        <f t="shared" si="5"/>
        <v>62540.522946070763</v>
      </c>
      <c r="E25" s="35">
        <f t="shared" si="1"/>
        <v>77290.764781756428</v>
      </c>
      <c r="F25" s="18">
        <f t="shared" si="2"/>
        <v>1932.2691195439108</v>
      </c>
      <c r="G25" s="18">
        <f t="shared" si="3"/>
        <v>75358.495662212517</v>
      </c>
    </row>
    <row r="26" spans="1:7">
      <c r="A26" s="22">
        <v>8</v>
      </c>
      <c r="B26" s="23">
        <f t="shared" si="0"/>
        <v>10000</v>
      </c>
      <c r="C26" s="18">
        <f t="shared" si="4"/>
        <v>9025</v>
      </c>
      <c r="D26" s="18">
        <f t="shared" si="5"/>
        <v>75358.495662212517</v>
      </c>
      <c r="E26" s="35">
        <f t="shared" si="1"/>
        <v>91134.175315189525</v>
      </c>
      <c r="F26" s="18">
        <f t="shared" si="2"/>
        <v>2278.3543828797383</v>
      </c>
      <c r="G26" s="18">
        <f t="shared" si="3"/>
        <v>88855.820932309784</v>
      </c>
    </row>
    <row r="27" spans="1:7">
      <c r="A27" s="22">
        <v>9</v>
      </c>
      <c r="B27" s="23">
        <f t="shared" si="0"/>
        <v>10000</v>
      </c>
      <c r="C27" s="18">
        <f t="shared" si="4"/>
        <v>9025</v>
      </c>
      <c r="D27" s="18">
        <f t="shared" si="5"/>
        <v>88855.820932309784</v>
      </c>
      <c r="E27" s="35">
        <f t="shared" si="1"/>
        <v>105711.28660689457</v>
      </c>
      <c r="F27" s="18">
        <f t="shared" si="2"/>
        <v>2642.7821651723643</v>
      </c>
      <c r="G27" s="18">
        <f t="shared" si="3"/>
        <v>103068.50444172221</v>
      </c>
    </row>
    <row r="28" spans="1:7">
      <c r="A28" s="22">
        <v>10</v>
      </c>
      <c r="B28" s="23">
        <f t="shared" si="0"/>
        <v>10000</v>
      </c>
      <c r="C28" s="18">
        <f t="shared" si="4"/>
        <v>9025</v>
      </c>
      <c r="D28" s="18">
        <f t="shared" si="5"/>
        <v>103068.50444172221</v>
      </c>
      <c r="E28" s="35">
        <f t="shared" si="1"/>
        <v>121060.98479705999</v>
      </c>
      <c r="F28" s="18">
        <f t="shared" si="2"/>
        <v>3026.5246199265002</v>
      </c>
      <c r="G28" s="18">
        <f t="shared" si="3"/>
        <v>118034.4601771335</v>
      </c>
    </row>
    <row r="29" spans="1:7">
      <c r="C29" s="25"/>
      <c r="D29" s="25"/>
      <c r="E29" s="26"/>
      <c r="F29" s="26"/>
      <c r="G29" s="25"/>
    </row>
    <row r="30" spans="1:7">
      <c r="C30" s="25"/>
      <c r="D30" s="25"/>
      <c r="E30" s="26"/>
      <c r="F30" s="26"/>
      <c r="G30" s="25"/>
    </row>
    <row r="31" spans="1:7" ht="33.75" customHeight="1">
      <c r="A31" s="15"/>
      <c r="B31" s="15"/>
      <c r="C31" s="15"/>
    </row>
    <row r="33" spans="1:14" ht="22.5" customHeight="1">
      <c r="A33" s="15"/>
      <c r="B33" s="80" t="s">
        <v>61</v>
      </c>
      <c r="C33" s="80"/>
      <c r="D33" s="18">
        <f>SUM(N36:N45)</f>
        <v>4998.8289140894576</v>
      </c>
      <c r="E33" s="36"/>
      <c r="F33" s="20"/>
    </row>
    <row r="34" spans="1:14">
      <c r="B34" s="20"/>
      <c r="C34" s="20"/>
      <c r="D34" s="20"/>
      <c r="E34" s="20"/>
      <c r="F34" s="20"/>
      <c r="G34" s="20"/>
      <c r="H34" s="20"/>
      <c r="I34" s="20"/>
      <c r="J34" s="20"/>
      <c r="K34" s="20"/>
      <c r="L34" s="20"/>
      <c r="M34" s="20"/>
      <c r="N34" s="20"/>
    </row>
    <row r="35" spans="1:14" ht="45" customHeight="1">
      <c r="A35" s="2" t="s">
        <v>21</v>
      </c>
      <c r="B35" s="2" t="s">
        <v>22</v>
      </c>
      <c r="C35" s="2" t="s">
        <v>13</v>
      </c>
      <c r="D35" s="2" t="s">
        <v>62</v>
      </c>
      <c r="E35" s="2" t="s">
        <v>63</v>
      </c>
      <c r="F35" s="2" t="s">
        <v>18</v>
      </c>
      <c r="G35" s="2" t="s">
        <v>15</v>
      </c>
      <c r="H35" s="2" t="s">
        <v>64</v>
      </c>
      <c r="I35" s="2" t="s">
        <v>47</v>
      </c>
      <c r="J35" s="2" t="s">
        <v>65</v>
      </c>
      <c r="K35" s="2" t="s">
        <v>66</v>
      </c>
      <c r="L35" s="2" t="s">
        <v>67</v>
      </c>
      <c r="M35" s="2" t="s">
        <v>68</v>
      </c>
      <c r="N35" s="2" t="s">
        <v>69</v>
      </c>
    </row>
    <row r="36" spans="1:14">
      <c r="A36" s="22">
        <v>1</v>
      </c>
      <c r="B36" s="22">
        <v>60</v>
      </c>
      <c r="C36" s="24">
        <f>VLOOKUP(B36,'AM92'!A5:D108,4,0)</f>
        <v>8.0219999999999996E-3</v>
      </c>
      <c r="D36" s="18">
        <f t="shared" ref="D36:D45" si="6">B19-C19</f>
        <v>2875</v>
      </c>
      <c r="E36" s="18">
        <f>D8</f>
        <v>500</v>
      </c>
      <c r="F36" s="18">
        <f t="shared" ref="F36:F45" si="7">(D36-E36)*$D$11</f>
        <v>142.5</v>
      </c>
      <c r="G36" s="18">
        <f t="shared" ref="G36:G45" si="8">G19*$D$13</f>
        <v>22507.875000000004</v>
      </c>
      <c r="H36" s="18">
        <f t="shared" ref="H36:H45" si="9">MAX(G36-G19,0)*C36</f>
        <v>120.37211550000002</v>
      </c>
      <c r="I36" s="18">
        <f t="shared" ref="I36:I45" si="10">F19</f>
        <v>192.37500000000003</v>
      </c>
      <c r="J36" s="18">
        <f t="shared" ref="J36:J45" si="11">D36-E36+F36-H36+I36</f>
        <v>2589.5028845000002</v>
      </c>
      <c r="K36" s="37">
        <v>1</v>
      </c>
      <c r="L36" s="18">
        <f t="shared" ref="L36:L45" si="12">K36*J36</f>
        <v>2589.5028845000002</v>
      </c>
      <c r="M36" s="24">
        <f t="shared" ref="M36:M45" si="13">(1+$D$12)^-A36</f>
        <v>0.90909090909090906</v>
      </c>
      <c r="N36" s="18">
        <f t="shared" ref="N36:N45" si="14">L36*M36</f>
        <v>2354.0935313636364</v>
      </c>
    </row>
    <row r="37" spans="1:14">
      <c r="A37" s="22">
        <v>2</v>
      </c>
      <c r="B37" s="22">
        <f t="shared" ref="B37:B45" si="15">B36+1</f>
        <v>61</v>
      </c>
      <c r="C37" s="24">
        <f>VLOOKUP(B37,'AM92'!A6:D109,4,0)</f>
        <v>9.0089999999999996E-3</v>
      </c>
      <c r="D37" s="18">
        <f t="shared" si="6"/>
        <v>975</v>
      </c>
      <c r="E37" s="18">
        <f t="shared" ref="E37:E45" si="16">$D$9</f>
        <v>150</v>
      </c>
      <c r="F37" s="18">
        <f t="shared" si="7"/>
        <v>49.5</v>
      </c>
      <c r="G37" s="18">
        <f t="shared" si="8"/>
        <v>52210.76737500001</v>
      </c>
      <c r="H37" s="18">
        <f t="shared" si="9"/>
        <v>313.57786885425008</v>
      </c>
      <c r="I37" s="18">
        <f t="shared" si="10"/>
        <v>446.24587500000007</v>
      </c>
      <c r="J37" s="18">
        <f t="shared" si="11"/>
        <v>1007.16800614575</v>
      </c>
      <c r="K37" s="37">
        <f t="shared" ref="K37:K45" si="17">K36*(1-C36)</f>
        <v>0.99197800000000003</v>
      </c>
      <c r="L37" s="18">
        <f t="shared" si="12"/>
        <v>999.08850440044887</v>
      </c>
      <c r="M37" s="24">
        <f t="shared" si="13"/>
        <v>0.82644628099173545</v>
      </c>
      <c r="N37" s="18">
        <f t="shared" si="14"/>
        <v>825.69297884334605</v>
      </c>
    </row>
    <row r="38" spans="1:14">
      <c r="A38" s="22">
        <v>3</v>
      </c>
      <c r="B38" s="22">
        <f t="shared" si="15"/>
        <v>62</v>
      </c>
      <c r="C38" s="24">
        <f>VLOOKUP(B38,'AM92'!A7:D110,4,0)</f>
        <v>1.0111999999999999E-2</v>
      </c>
      <c r="D38" s="18">
        <f t="shared" si="6"/>
        <v>975</v>
      </c>
      <c r="E38" s="18">
        <f t="shared" si="16"/>
        <v>150</v>
      </c>
      <c r="F38" s="18">
        <f t="shared" si="7"/>
        <v>49.5</v>
      </c>
      <c r="G38" s="18">
        <f t="shared" si="8"/>
        <v>83487.913045875001</v>
      </c>
      <c r="H38" s="18">
        <f t="shared" si="9"/>
        <v>562.81985114659199</v>
      </c>
      <c r="I38" s="18">
        <f t="shared" si="10"/>
        <v>713.57190637500014</v>
      </c>
      <c r="J38" s="18">
        <f t="shared" si="11"/>
        <v>1025.2520552284082</v>
      </c>
      <c r="K38" s="37">
        <f t="shared" si="17"/>
        <v>0.98304127019800003</v>
      </c>
      <c r="L38" s="18">
        <f t="shared" si="12"/>
        <v>1007.8650826448444</v>
      </c>
      <c r="M38" s="24">
        <f t="shared" si="13"/>
        <v>0.75131480090157754</v>
      </c>
      <c r="N38" s="18">
        <f t="shared" si="14"/>
        <v>757.22395390296322</v>
      </c>
    </row>
    <row r="39" spans="1:14">
      <c r="A39" s="22">
        <v>4</v>
      </c>
      <c r="B39" s="22">
        <f t="shared" si="15"/>
        <v>63</v>
      </c>
      <c r="C39" s="24">
        <f>VLOOKUP(B39,'AM92'!A8:D111,4,0)</f>
        <v>1.1344E-2</v>
      </c>
      <c r="D39" s="18">
        <f t="shared" si="6"/>
        <v>975</v>
      </c>
      <c r="E39" s="18">
        <f t="shared" si="16"/>
        <v>150</v>
      </c>
      <c r="F39" s="18">
        <f t="shared" si="7"/>
        <v>49.5</v>
      </c>
      <c r="G39" s="18">
        <f t="shared" si="8"/>
        <v>116422.74743730639</v>
      </c>
      <c r="H39" s="18">
        <f t="shared" si="9"/>
        <v>880.46643128586913</v>
      </c>
      <c r="I39" s="18">
        <f t="shared" si="10"/>
        <v>995.06621741287518</v>
      </c>
      <c r="J39" s="18">
        <f t="shared" si="11"/>
        <v>989.09978612700604</v>
      </c>
      <c r="K39" s="37">
        <f t="shared" si="17"/>
        <v>0.97310075687375786</v>
      </c>
      <c r="L39" s="18">
        <f t="shared" si="12"/>
        <v>962.49375050386163</v>
      </c>
      <c r="M39" s="24">
        <f t="shared" si="13"/>
        <v>0.68301345536507052</v>
      </c>
      <c r="N39" s="18">
        <f t="shared" si="14"/>
        <v>657.39618229892858</v>
      </c>
    </row>
    <row r="40" spans="1:14">
      <c r="A40" s="22">
        <v>5</v>
      </c>
      <c r="B40" s="22">
        <f t="shared" si="15"/>
        <v>64</v>
      </c>
      <c r="C40" s="24">
        <f>VLOOKUP(B40,'AM92'!A9:D112,4,0)</f>
        <v>1.2716E-2</v>
      </c>
      <c r="D40" s="18">
        <f t="shared" si="6"/>
        <v>975</v>
      </c>
      <c r="E40" s="18">
        <f t="shared" si="16"/>
        <v>150</v>
      </c>
      <c r="F40" s="18">
        <f t="shared" si="7"/>
        <v>49.5</v>
      </c>
      <c r="G40" s="18">
        <f t="shared" si="8"/>
        <v>151103.12805148363</v>
      </c>
      <c r="H40" s="18">
        <f t="shared" si="9"/>
        <v>1280.951584201777</v>
      </c>
      <c r="I40" s="18">
        <f t="shared" si="10"/>
        <v>1291.4797269357578</v>
      </c>
      <c r="J40" s="18">
        <f t="shared" si="11"/>
        <v>885.02814273398076</v>
      </c>
      <c r="K40" s="37">
        <f t="shared" si="17"/>
        <v>0.96206190188778196</v>
      </c>
      <c r="L40" s="18">
        <f t="shared" si="12"/>
        <v>851.45185822286487</v>
      </c>
      <c r="M40" s="24">
        <f t="shared" si="13"/>
        <v>0.62092132305915493</v>
      </c>
      <c r="N40" s="18">
        <f t="shared" si="14"/>
        <v>528.68461432891729</v>
      </c>
    </row>
    <row r="41" spans="1:14">
      <c r="A41" s="22">
        <v>6</v>
      </c>
      <c r="B41" s="22">
        <f t="shared" si="15"/>
        <v>65</v>
      </c>
      <c r="C41" s="24">
        <f>VLOOKUP(B41,'AM92'!A10:D113,4,0)</f>
        <v>1.4243E-2</v>
      </c>
      <c r="D41" s="18">
        <f t="shared" si="6"/>
        <v>975</v>
      </c>
      <c r="E41" s="18">
        <f t="shared" si="16"/>
        <v>150</v>
      </c>
      <c r="F41" s="18">
        <f t="shared" si="7"/>
        <v>49.5</v>
      </c>
      <c r="G41" s="18">
        <f t="shared" si="8"/>
        <v>187621.56883821229</v>
      </c>
      <c r="H41" s="18">
        <f t="shared" si="9"/>
        <v>1781.5293366417718</v>
      </c>
      <c r="I41" s="18">
        <f t="shared" si="10"/>
        <v>1603.6031524633529</v>
      </c>
      <c r="J41" s="18">
        <f t="shared" si="11"/>
        <v>696.57381582158109</v>
      </c>
      <c r="K41" s="37">
        <f t="shared" si="17"/>
        <v>0.94982832274337692</v>
      </c>
      <c r="L41" s="18">
        <f t="shared" si="12"/>
        <v>661.62553914876628</v>
      </c>
      <c r="M41" s="24">
        <f t="shared" si="13"/>
        <v>0.56447393005377722</v>
      </c>
      <c r="N41" s="18">
        <f t="shared" si="14"/>
        <v>373.47036830725335</v>
      </c>
    </row>
    <row r="42" spans="1:14">
      <c r="A42" s="22">
        <v>7</v>
      </c>
      <c r="B42" s="22">
        <f t="shared" si="15"/>
        <v>66</v>
      </c>
      <c r="C42" s="24">
        <f>VLOOKUP(B42,'AM92'!A11:D114,4,0)</f>
        <v>1.5939999999999999E-2</v>
      </c>
      <c r="D42" s="18">
        <f t="shared" si="6"/>
        <v>975</v>
      </c>
      <c r="E42" s="18">
        <f t="shared" si="16"/>
        <v>150</v>
      </c>
      <c r="F42" s="18">
        <f t="shared" si="7"/>
        <v>49.5</v>
      </c>
      <c r="G42" s="18">
        <f t="shared" si="8"/>
        <v>226075.48698663755</v>
      </c>
      <c r="H42" s="18">
        <f t="shared" si="9"/>
        <v>2402.4288417113348</v>
      </c>
      <c r="I42" s="18">
        <f t="shared" si="10"/>
        <v>1932.2691195439108</v>
      </c>
      <c r="J42" s="18">
        <f t="shared" si="11"/>
        <v>404.34027783257602</v>
      </c>
      <c r="K42" s="37">
        <f t="shared" si="17"/>
        <v>0.93629991794254297</v>
      </c>
      <c r="L42" s="18">
        <f t="shared" si="12"/>
        <v>378.58376895550595</v>
      </c>
      <c r="M42" s="24">
        <f t="shared" si="13"/>
        <v>0.51315811823070645</v>
      </c>
      <c r="N42" s="18">
        <f t="shared" si="14"/>
        <v>194.27333446989599</v>
      </c>
    </row>
    <row r="43" spans="1:14">
      <c r="A43" s="22">
        <v>8</v>
      </c>
      <c r="B43" s="22">
        <f t="shared" si="15"/>
        <v>67</v>
      </c>
      <c r="C43" s="24">
        <f>VLOOKUP(B43,'AM92'!A12:D115,4,0)</f>
        <v>1.7824E-2</v>
      </c>
      <c r="D43" s="18">
        <f t="shared" si="6"/>
        <v>975</v>
      </c>
      <c r="E43" s="18">
        <f t="shared" si="16"/>
        <v>150</v>
      </c>
      <c r="F43" s="18">
        <f t="shared" si="7"/>
        <v>49.5</v>
      </c>
      <c r="G43" s="18">
        <f t="shared" si="8"/>
        <v>266567.46279692935</v>
      </c>
      <c r="H43" s="18">
        <f t="shared" si="9"/>
        <v>3167.532304594979</v>
      </c>
      <c r="I43" s="18">
        <f t="shared" si="10"/>
        <v>2278.3543828797383</v>
      </c>
      <c r="J43" s="18">
        <f t="shared" si="11"/>
        <v>-14.6779217152407</v>
      </c>
      <c r="K43" s="37">
        <f t="shared" si="17"/>
        <v>0.9213752972505389</v>
      </c>
      <c r="L43" s="18">
        <f t="shared" si="12"/>
        <v>-13.523874483400039</v>
      </c>
      <c r="M43" s="24">
        <f t="shared" si="13"/>
        <v>0.46650738020973315</v>
      </c>
      <c r="N43" s="18">
        <f t="shared" si="14"/>
        <v>-6.308987255536211</v>
      </c>
    </row>
    <row r="44" spans="1:14">
      <c r="A44" s="22">
        <v>9</v>
      </c>
      <c r="B44" s="22">
        <f t="shared" si="15"/>
        <v>68</v>
      </c>
      <c r="C44" s="24">
        <f>VLOOKUP(B44,'AM92'!A13:D116,4,0)</f>
        <v>1.9913E-2</v>
      </c>
      <c r="D44" s="18">
        <f t="shared" si="6"/>
        <v>975</v>
      </c>
      <c r="E44" s="18">
        <f t="shared" si="16"/>
        <v>150</v>
      </c>
      <c r="F44" s="18">
        <f t="shared" si="7"/>
        <v>49.5</v>
      </c>
      <c r="G44" s="18">
        <f t="shared" si="8"/>
        <v>309205.51332516666</v>
      </c>
      <c r="H44" s="18">
        <f t="shared" si="9"/>
        <v>4104.8062578960289</v>
      </c>
      <c r="I44" s="18">
        <f t="shared" si="10"/>
        <v>2642.7821651723643</v>
      </c>
      <c r="J44" s="18">
        <f t="shared" si="11"/>
        <v>-587.52409272366458</v>
      </c>
      <c r="K44" s="37">
        <f t="shared" si="17"/>
        <v>0.90495270395234539</v>
      </c>
      <c r="L44" s="18">
        <f t="shared" si="12"/>
        <v>-531.68151634742878</v>
      </c>
      <c r="M44" s="24">
        <f t="shared" si="13"/>
        <v>0.42409761837248466</v>
      </c>
      <c r="N44" s="18">
        <f t="shared" si="14"/>
        <v>-225.48486481561582</v>
      </c>
    </row>
    <row r="45" spans="1:14">
      <c r="A45" s="22">
        <v>10</v>
      </c>
      <c r="B45" s="22">
        <f t="shared" si="15"/>
        <v>69</v>
      </c>
      <c r="C45" s="24">
        <f>VLOOKUP(B45,'AM92'!A14:D117,4,0)</f>
        <v>2.2225999999999999E-2</v>
      </c>
      <c r="D45" s="18">
        <f t="shared" si="6"/>
        <v>975</v>
      </c>
      <c r="E45" s="18">
        <f t="shared" si="16"/>
        <v>150</v>
      </c>
      <c r="F45" s="18">
        <f t="shared" si="7"/>
        <v>49.5</v>
      </c>
      <c r="G45" s="18">
        <f t="shared" si="8"/>
        <v>354103.3805314005</v>
      </c>
      <c r="H45" s="18">
        <f t="shared" si="9"/>
        <v>5246.8678237939384</v>
      </c>
      <c r="I45" s="18">
        <f t="shared" si="10"/>
        <v>3026.5246199265002</v>
      </c>
      <c r="J45" s="18">
        <f t="shared" si="11"/>
        <v>-1345.8432038674382</v>
      </c>
      <c r="K45" s="37">
        <f t="shared" si="17"/>
        <v>0.88693238075854242</v>
      </c>
      <c r="L45" s="18">
        <f t="shared" si="12"/>
        <v>-1193.6719169338514</v>
      </c>
      <c r="M45" s="24">
        <f t="shared" si="13"/>
        <v>0.38554328942953148</v>
      </c>
      <c r="N45" s="18">
        <f t="shared" si="14"/>
        <v>-460.21219735433152</v>
      </c>
    </row>
    <row r="48" spans="1:14" ht="33.75" customHeight="1">
      <c r="A48" s="15" t="s">
        <v>70</v>
      </c>
      <c r="B48" s="15"/>
      <c r="C48" s="15"/>
    </row>
    <row r="50" spans="1:12" ht="15" customHeight="1">
      <c r="A50" s="15"/>
      <c r="B50" s="80" t="s">
        <v>61</v>
      </c>
      <c r="C50" s="80"/>
      <c r="D50" s="18">
        <f>SUM(L53:L62)</f>
        <v>4897.4706077419751</v>
      </c>
      <c r="E50" s="19"/>
    </row>
    <row r="51" spans="1:12">
      <c r="B51" s="20"/>
      <c r="C51" s="20"/>
      <c r="E51" s="38"/>
      <c r="F51" s="38"/>
      <c r="G51" s="38"/>
      <c r="H51" s="38"/>
      <c r="I51" s="38"/>
    </row>
    <row r="52" spans="1:12" ht="45" customHeight="1">
      <c r="A52" s="2" t="s">
        <v>21</v>
      </c>
      <c r="B52" s="2" t="s">
        <v>22</v>
      </c>
      <c r="D52" s="2" t="s">
        <v>71</v>
      </c>
      <c r="E52" s="2" t="s">
        <v>72</v>
      </c>
      <c r="F52" s="39" t="s">
        <v>73</v>
      </c>
      <c r="G52" s="2" t="s">
        <v>74</v>
      </c>
      <c r="H52" s="39" t="s">
        <v>75</v>
      </c>
      <c r="I52" s="39" t="s">
        <v>76</v>
      </c>
      <c r="J52" s="2" t="s">
        <v>66</v>
      </c>
      <c r="K52" s="2" t="s">
        <v>68</v>
      </c>
      <c r="L52" s="2" t="s">
        <v>69</v>
      </c>
    </row>
    <row r="53" spans="1:12">
      <c r="A53" s="22">
        <v>1</v>
      </c>
      <c r="B53">
        <v>60</v>
      </c>
      <c r="D53" s="18">
        <f t="shared" ref="D53:D62" si="18">J36</f>
        <v>2589.5028845000002</v>
      </c>
      <c r="E53" s="18">
        <f t="shared" ref="E53:E62" si="19">MAX((-D53+H53)/(1+$D$11),0)</f>
        <v>0</v>
      </c>
      <c r="F53" s="40">
        <f t="shared" ref="F53:F62" si="20">E53*$D$11</f>
        <v>0</v>
      </c>
      <c r="G53" s="41">
        <f t="shared" ref="G53:G62" si="21">1-C36</f>
        <v>0.99197800000000003</v>
      </c>
      <c r="H53" s="42">
        <f t="shared" ref="H53:H62" si="22">E54*G53</f>
        <v>0</v>
      </c>
      <c r="I53" s="40">
        <f t="shared" ref="I53:I62" si="23">D53+E53+F53-H53</f>
        <v>2589.5028845000002</v>
      </c>
      <c r="J53" s="37">
        <f t="shared" ref="J53:J62" si="24">K36</f>
        <v>1</v>
      </c>
      <c r="K53" s="24">
        <f t="shared" ref="K53:K62" si="25">M36</f>
        <v>0.90909090909090906</v>
      </c>
      <c r="L53" s="18">
        <f t="shared" ref="L53:L62" si="26">J53*K53*I53</f>
        <v>2354.0935313636364</v>
      </c>
    </row>
    <row r="54" spans="1:12">
      <c r="A54" s="22">
        <v>2</v>
      </c>
      <c r="B54">
        <f t="shared" ref="B54:B62" si="27">B53+1</f>
        <v>61</v>
      </c>
      <c r="D54" s="18">
        <f t="shared" si="18"/>
        <v>1007.16800614575</v>
      </c>
      <c r="E54" s="18">
        <f t="shared" si="19"/>
        <v>0</v>
      </c>
      <c r="F54" s="40">
        <f t="shared" si="20"/>
        <v>0</v>
      </c>
      <c r="G54" s="41">
        <f t="shared" si="21"/>
        <v>0.99099099999999996</v>
      </c>
      <c r="H54" s="42">
        <f t="shared" si="22"/>
        <v>0</v>
      </c>
      <c r="I54" s="40">
        <f t="shared" si="23"/>
        <v>1007.16800614575</v>
      </c>
      <c r="J54" s="37">
        <f t="shared" si="24"/>
        <v>0.99197800000000003</v>
      </c>
      <c r="K54" s="24">
        <f t="shared" si="25"/>
        <v>0.82644628099173545</v>
      </c>
      <c r="L54" s="18">
        <f t="shared" si="26"/>
        <v>825.69297884334605</v>
      </c>
    </row>
    <row r="55" spans="1:12">
      <c r="A55" s="22">
        <v>3</v>
      </c>
      <c r="B55">
        <f t="shared" si="27"/>
        <v>62</v>
      </c>
      <c r="D55" s="18">
        <f t="shared" si="18"/>
        <v>1025.2520552284082</v>
      </c>
      <c r="E55" s="18">
        <f t="shared" si="19"/>
        <v>0</v>
      </c>
      <c r="F55" s="40">
        <f t="shared" si="20"/>
        <v>0</v>
      </c>
      <c r="G55" s="41">
        <f t="shared" si="21"/>
        <v>0.98988799999999999</v>
      </c>
      <c r="H55" s="42">
        <f t="shared" si="22"/>
        <v>0</v>
      </c>
      <c r="I55" s="40">
        <f t="shared" si="23"/>
        <v>1025.2520552284082</v>
      </c>
      <c r="J55" s="37">
        <f t="shared" si="24"/>
        <v>0.98304127019800003</v>
      </c>
      <c r="K55" s="24">
        <f t="shared" si="25"/>
        <v>0.75131480090157754</v>
      </c>
      <c r="L55" s="18">
        <f t="shared" si="26"/>
        <v>757.22395390296333</v>
      </c>
    </row>
    <row r="56" spans="1:12">
      <c r="A56" s="22">
        <v>4</v>
      </c>
      <c r="B56">
        <f t="shared" si="27"/>
        <v>63</v>
      </c>
      <c r="D56" s="18">
        <f t="shared" si="18"/>
        <v>989.09978612700604</v>
      </c>
      <c r="E56" s="18">
        <f t="shared" si="19"/>
        <v>0</v>
      </c>
      <c r="F56" s="40">
        <f t="shared" si="20"/>
        <v>0</v>
      </c>
      <c r="G56" s="41">
        <f t="shared" si="21"/>
        <v>0.98865599999999998</v>
      </c>
      <c r="H56" s="42">
        <f t="shared" si="22"/>
        <v>0</v>
      </c>
      <c r="I56" s="40">
        <f t="shared" si="23"/>
        <v>989.09978612700604</v>
      </c>
      <c r="J56" s="37">
        <f t="shared" si="24"/>
        <v>0.97310075687375786</v>
      </c>
      <c r="K56" s="24">
        <f t="shared" si="25"/>
        <v>0.68301345536507052</v>
      </c>
      <c r="L56" s="18">
        <f t="shared" si="26"/>
        <v>657.39618229892858</v>
      </c>
    </row>
    <row r="57" spans="1:12">
      <c r="A57" s="22">
        <v>5</v>
      </c>
      <c r="B57">
        <f t="shared" si="27"/>
        <v>64</v>
      </c>
      <c r="D57" s="18">
        <f t="shared" si="18"/>
        <v>885.02814273398076</v>
      </c>
      <c r="E57" s="18">
        <f t="shared" si="19"/>
        <v>0</v>
      </c>
      <c r="F57" s="40">
        <f t="shared" si="20"/>
        <v>0</v>
      </c>
      <c r="G57" s="41">
        <f t="shared" si="21"/>
        <v>0.98728400000000005</v>
      </c>
      <c r="H57" s="42">
        <f t="shared" si="22"/>
        <v>377.69328267057477</v>
      </c>
      <c r="I57" s="40">
        <f t="shared" si="23"/>
        <v>507.33486006340598</v>
      </c>
      <c r="J57" s="37">
        <f t="shared" si="24"/>
        <v>0.96206190188778196</v>
      </c>
      <c r="K57" s="24">
        <f t="shared" si="25"/>
        <v>0.62092132305915493</v>
      </c>
      <c r="L57" s="18">
        <f t="shared" si="26"/>
        <v>303.06396133310062</v>
      </c>
    </row>
    <row r="58" spans="1:12">
      <c r="A58" s="22">
        <v>6</v>
      </c>
      <c r="B58">
        <f t="shared" si="27"/>
        <v>65</v>
      </c>
      <c r="D58" s="18">
        <f t="shared" si="18"/>
        <v>696.57381582158109</v>
      </c>
      <c r="E58" s="18">
        <f t="shared" si="19"/>
        <v>382.55788878435663</v>
      </c>
      <c r="F58" s="40">
        <f t="shared" si="20"/>
        <v>22.953473327061396</v>
      </c>
      <c r="G58" s="41">
        <f t="shared" si="21"/>
        <v>0.98575699999999999</v>
      </c>
      <c r="H58" s="42">
        <f t="shared" si="22"/>
        <v>1102.0851779329992</v>
      </c>
      <c r="I58" s="40">
        <f t="shared" si="23"/>
        <v>0</v>
      </c>
      <c r="J58" s="37">
        <f t="shared" si="24"/>
        <v>0.94982832274337692</v>
      </c>
      <c r="K58" s="24">
        <f t="shared" si="25"/>
        <v>0.56447393005377722</v>
      </c>
      <c r="L58" s="18">
        <f t="shared" si="26"/>
        <v>0</v>
      </c>
    </row>
    <row r="59" spans="1:12">
      <c r="A59" s="22">
        <v>7</v>
      </c>
      <c r="B59">
        <f t="shared" si="27"/>
        <v>66</v>
      </c>
      <c r="D59" s="18">
        <f t="shared" si="18"/>
        <v>404.34027783257602</v>
      </c>
      <c r="E59" s="18">
        <f t="shared" si="19"/>
        <v>1118.0089798327572</v>
      </c>
      <c r="F59" s="40">
        <f t="shared" si="20"/>
        <v>67.080538789965431</v>
      </c>
      <c r="G59" s="41">
        <f t="shared" si="21"/>
        <v>0.98406000000000005</v>
      </c>
      <c r="H59" s="42">
        <f t="shared" si="22"/>
        <v>1589.4297964552986</v>
      </c>
      <c r="I59" s="40">
        <f t="shared" si="23"/>
        <v>0</v>
      </c>
      <c r="J59" s="37">
        <f t="shared" si="24"/>
        <v>0.93629991794254297</v>
      </c>
      <c r="K59" s="24">
        <f t="shared" si="25"/>
        <v>0.51315811823070645</v>
      </c>
      <c r="L59" s="18">
        <f t="shared" si="26"/>
        <v>0</v>
      </c>
    </row>
    <row r="60" spans="1:12">
      <c r="A60" s="22">
        <v>8</v>
      </c>
      <c r="B60">
        <f t="shared" si="27"/>
        <v>67</v>
      </c>
      <c r="D60" s="18">
        <f t="shared" si="18"/>
        <v>-14.6779217152407</v>
      </c>
      <c r="E60" s="18">
        <f t="shared" si="19"/>
        <v>1615.1756970665392</v>
      </c>
      <c r="F60" s="40">
        <f t="shared" si="20"/>
        <v>96.910541823992347</v>
      </c>
      <c r="G60" s="41">
        <f t="shared" si="21"/>
        <v>0.98217600000000005</v>
      </c>
      <c r="H60" s="42">
        <f t="shared" si="22"/>
        <v>1697.4083171752909</v>
      </c>
      <c r="I60" s="40">
        <f t="shared" si="23"/>
        <v>0</v>
      </c>
      <c r="J60" s="37">
        <f t="shared" si="24"/>
        <v>0.9213752972505389</v>
      </c>
      <c r="K60" s="24">
        <f t="shared" si="25"/>
        <v>0.46650738020973315</v>
      </c>
      <c r="L60" s="18">
        <f t="shared" si="26"/>
        <v>0</v>
      </c>
    </row>
    <row r="61" spans="1:12">
      <c r="A61" s="22">
        <v>9</v>
      </c>
      <c r="B61">
        <f t="shared" si="27"/>
        <v>68</v>
      </c>
      <c r="D61" s="18">
        <f t="shared" si="18"/>
        <v>-587.52409272366458</v>
      </c>
      <c r="E61" s="18">
        <f t="shared" si="19"/>
        <v>1728.2119672800911</v>
      </c>
      <c r="F61" s="40">
        <f t="shared" si="20"/>
        <v>103.69271803680546</v>
      </c>
      <c r="G61" s="41">
        <f t="shared" si="21"/>
        <v>0.98008700000000004</v>
      </c>
      <c r="H61" s="42">
        <f t="shared" si="22"/>
        <v>1244.380592593232</v>
      </c>
      <c r="I61" s="40">
        <f t="shared" si="23"/>
        <v>0</v>
      </c>
      <c r="J61" s="37">
        <f t="shared" si="24"/>
        <v>0.90495270395234539</v>
      </c>
      <c r="K61" s="24">
        <f t="shared" si="25"/>
        <v>0.42409761837248466</v>
      </c>
      <c r="L61" s="18">
        <f t="shared" si="26"/>
        <v>0</v>
      </c>
    </row>
    <row r="62" spans="1:12">
      <c r="A62" s="22">
        <v>10</v>
      </c>
      <c r="B62">
        <f t="shared" si="27"/>
        <v>69</v>
      </c>
      <c r="D62" s="18">
        <f t="shared" si="18"/>
        <v>-1345.8432038674382</v>
      </c>
      <c r="E62" s="18">
        <f t="shared" si="19"/>
        <v>1269.6633998749417</v>
      </c>
      <c r="F62" s="40">
        <f t="shared" si="20"/>
        <v>76.179803992496502</v>
      </c>
      <c r="G62" s="41">
        <f t="shared" si="21"/>
        <v>0.97777400000000003</v>
      </c>
      <c r="H62" s="42">
        <f t="shared" si="22"/>
        <v>0</v>
      </c>
      <c r="I62" s="40">
        <f t="shared" si="23"/>
        <v>-4.2632564145606011E-14</v>
      </c>
      <c r="J62" s="37">
        <f t="shared" si="24"/>
        <v>0.88693238075854242</v>
      </c>
      <c r="K62" s="24">
        <f t="shared" si="25"/>
        <v>0.38554328942953148</v>
      </c>
      <c r="L62" s="18">
        <f t="shared" si="26"/>
        <v>-1.4578240591413906E-14</v>
      </c>
    </row>
    <row r="64" spans="1:12" ht="33.75" customHeight="1">
      <c r="A64" s="15" t="s">
        <v>77</v>
      </c>
      <c r="B64" s="15"/>
      <c r="C64" s="15"/>
    </row>
    <row r="66" spans="2:8" ht="15" customHeight="1">
      <c r="B66" s="85" t="s">
        <v>78</v>
      </c>
      <c r="C66" s="85"/>
      <c r="D66" s="85"/>
      <c r="E66" s="85"/>
      <c r="F66" s="85"/>
      <c r="G66" s="85"/>
      <c r="H66" s="31"/>
    </row>
    <row r="67" spans="2:8">
      <c r="B67" s="85"/>
      <c r="C67" s="85"/>
      <c r="D67" s="85"/>
      <c r="E67" s="85"/>
      <c r="F67" s="85"/>
      <c r="G67" s="85"/>
    </row>
    <row r="68" spans="2:8">
      <c r="B68" s="85"/>
      <c r="C68" s="85"/>
      <c r="D68" s="85"/>
      <c r="E68" s="85"/>
      <c r="F68" s="85"/>
      <c r="G68" s="85"/>
    </row>
    <row r="69" spans="2:8">
      <c r="B69" s="85"/>
      <c r="C69" s="85"/>
      <c r="D69" s="85"/>
      <c r="E69" s="85"/>
      <c r="F69" s="85"/>
      <c r="G69" s="85"/>
    </row>
    <row r="70" spans="2:8">
      <c r="B70" s="85"/>
      <c r="C70" s="85"/>
      <c r="D70" s="85"/>
      <c r="E70" s="85"/>
      <c r="F70" s="85"/>
      <c r="G70" s="85"/>
    </row>
  </sheetData>
  <mergeCells count="16">
    <mergeCell ref="I1:J1"/>
    <mergeCell ref="K1:M1"/>
    <mergeCell ref="B3:C3"/>
    <mergeCell ref="B4:C4"/>
    <mergeCell ref="B5:C5"/>
    <mergeCell ref="B6:C6"/>
    <mergeCell ref="B7:C7"/>
    <mergeCell ref="B8:C8"/>
    <mergeCell ref="B9:C9"/>
    <mergeCell ref="B10:C10"/>
    <mergeCell ref="B66:G70"/>
    <mergeCell ref="B11:C11"/>
    <mergeCell ref="B12:C12"/>
    <mergeCell ref="B13:C13"/>
    <mergeCell ref="B33:C33"/>
    <mergeCell ref="B50:C50"/>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59"/>
  <sheetViews>
    <sheetView showGridLines="0" zoomScaleNormal="100" workbookViewId="0">
      <pane ySplit="1" topLeftCell="A2" activePane="bottomLeft" state="frozen"/>
      <selection pane="bottomLeft" activeCell="P26" sqref="P26:P34"/>
    </sheetView>
  </sheetViews>
  <sheetFormatPr defaultColWidth="0" defaultRowHeight="15" zeroHeight="1"/>
  <cols>
    <col min="1" max="2" width="9.140625" customWidth="1"/>
    <col min="3" max="7" width="12" customWidth="1"/>
    <col min="8" max="8" width="10" customWidth="1"/>
    <col min="9" max="9" width="12.28515625" customWidth="1"/>
    <col min="10" max="10" width="12.85546875" customWidth="1"/>
    <col min="11" max="11" width="14.28515625" customWidth="1"/>
    <col min="12" max="12" width="9.7109375" customWidth="1"/>
    <col min="13" max="13" width="10.42578125" customWidth="1"/>
    <col min="14" max="14" width="10.5703125" customWidth="1"/>
    <col min="15" max="15" width="23.140625" customWidth="1"/>
    <col min="16" max="18" width="9.140625" customWidth="1"/>
    <col min="19" max="16384" width="9.140625" hidden="1"/>
  </cols>
  <sheetData>
    <row r="1" spans="1:15" ht="33.75" customHeight="1">
      <c r="A1" s="15" t="s">
        <v>79</v>
      </c>
      <c r="B1" s="43"/>
      <c r="C1" s="43"/>
      <c r="D1" s="43"/>
      <c r="E1" s="43"/>
      <c r="F1" s="43"/>
      <c r="G1" s="82" t="s">
        <v>4</v>
      </c>
      <c r="H1" s="82"/>
      <c r="I1" s="82"/>
      <c r="J1" s="83" t="s">
        <v>5</v>
      </c>
      <c r="K1" s="83"/>
      <c r="L1" s="83"/>
      <c r="N1" s="43"/>
      <c r="O1" s="43"/>
    </row>
    <row r="2" spans="1:15" ht="33.75" customHeight="1">
      <c r="A2" s="15"/>
      <c r="B2" s="43"/>
      <c r="C2" s="43"/>
      <c r="D2" s="43"/>
      <c r="E2" s="43"/>
      <c r="F2" s="43"/>
      <c r="G2" s="43"/>
      <c r="H2" s="43"/>
      <c r="I2" s="43"/>
      <c r="J2" s="43"/>
      <c r="K2" s="43"/>
      <c r="L2" s="43"/>
      <c r="M2" s="43"/>
      <c r="N2" s="43"/>
      <c r="O2" s="43"/>
    </row>
    <row r="3" spans="1:15" ht="21" customHeight="1">
      <c r="A3" s="44" t="s">
        <v>80</v>
      </c>
      <c r="B3" s="45"/>
      <c r="C3" s="45"/>
      <c r="D3" s="45"/>
      <c r="E3" s="45"/>
      <c r="F3" s="45"/>
      <c r="G3" s="45"/>
      <c r="H3" s="45"/>
      <c r="I3" s="45"/>
      <c r="J3" s="45"/>
      <c r="K3" s="45"/>
      <c r="L3" s="45"/>
      <c r="M3" s="45"/>
      <c r="N3" s="45"/>
      <c r="O3" s="45"/>
    </row>
    <row r="4" spans="1:15" ht="15.75" customHeight="1">
      <c r="A4" s="46" t="s">
        <v>81</v>
      </c>
      <c r="B4" s="45"/>
      <c r="D4" s="47">
        <v>7.4999999999999997E-2</v>
      </c>
      <c r="E4" s="45"/>
      <c r="F4" s="45"/>
      <c r="G4" s="45"/>
      <c r="H4" s="45"/>
      <c r="I4" s="45"/>
      <c r="J4" s="45"/>
      <c r="N4" s="45"/>
      <c r="O4" s="48"/>
    </row>
    <row r="5" spans="1:15" ht="15.75" customHeight="1">
      <c r="A5" s="49"/>
      <c r="B5" s="50"/>
      <c r="C5" s="51"/>
      <c r="D5" s="52"/>
      <c r="E5" s="52"/>
      <c r="F5" s="52"/>
      <c r="G5" s="52"/>
      <c r="H5" s="52"/>
      <c r="I5" s="45"/>
      <c r="J5" s="45"/>
      <c r="K5" s="45"/>
      <c r="L5" s="45"/>
      <c r="M5" s="45"/>
      <c r="N5" s="45"/>
      <c r="O5" s="45"/>
    </row>
    <row r="6" spans="1:15">
      <c r="A6" s="45" t="s">
        <v>82</v>
      </c>
      <c r="B6" s="50"/>
      <c r="D6" s="53">
        <v>1000</v>
      </c>
      <c r="E6" s="52"/>
      <c r="F6" s="52"/>
      <c r="G6" s="52"/>
      <c r="H6" s="52"/>
      <c r="I6" s="45"/>
      <c r="J6" s="45"/>
      <c r="K6" s="45"/>
      <c r="L6" s="45"/>
      <c r="M6" s="45"/>
      <c r="N6" s="45"/>
      <c r="O6" s="45"/>
    </row>
    <row r="7" spans="1:15">
      <c r="A7" s="45" t="s">
        <v>83</v>
      </c>
      <c r="B7" s="50"/>
      <c r="D7" s="54">
        <v>0.5</v>
      </c>
      <c r="E7" s="52"/>
      <c r="F7" s="52"/>
      <c r="G7" s="52"/>
      <c r="H7" s="52"/>
      <c r="I7" s="45"/>
      <c r="J7" s="45"/>
      <c r="K7" s="45"/>
      <c r="L7" s="45"/>
      <c r="M7" s="45"/>
      <c r="N7" s="45"/>
      <c r="O7" s="45"/>
    </row>
    <row r="8" spans="1:15" ht="18.75" customHeight="1">
      <c r="A8" s="45"/>
      <c r="B8" s="45"/>
      <c r="C8" s="45"/>
      <c r="D8" s="45"/>
      <c r="E8" s="45"/>
      <c r="F8" s="45"/>
      <c r="G8" s="45"/>
      <c r="H8" s="45"/>
      <c r="I8" s="55"/>
      <c r="J8" s="45"/>
      <c r="K8" s="45"/>
      <c r="M8" s="56"/>
      <c r="N8" s="56"/>
      <c r="O8" s="56"/>
    </row>
    <row r="9" spans="1:15" ht="33.75" customHeight="1">
      <c r="A9" s="15" t="s">
        <v>84</v>
      </c>
      <c r="B9" s="15"/>
      <c r="C9" s="15"/>
      <c r="M9" s="15"/>
      <c r="N9" s="15"/>
      <c r="O9" s="15"/>
    </row>
    <row r="10" spans="1:15" ht="17.25" customHeight="1">
      <c r="A10" s="15"/>
      <c r="B10" s="15"/>
      <c r="C10" s="15"/>
      <c r="M10" s="15"/>
      <c r="N10" s="15"/>
      <c r="O10" s="15"/>
    </row>
    <row r="11" spans="1:15" s="59" customFormat="1" ht="15.75" customHeight="1">
      <c r="A11" s="57"/>
      <c r="B11" s="57"/>
      <c r="C11" s="58"/>
      <c r="D11" s="58"/>
      <c r="E11" s="58"/>
      <c r="F11" s="58"/>
      <c r="G11" s="58"/>
      <c r="H11" s="58"/>
      <c r="I11" s="58"/>
      <c r="J11" s="58"/>
      <c r="N11" s="58"/>
      <c r="O11" s="58"/>
    </row>
    <row r="12" spans="1:15" ht="30" customHeight="1">
      <c r="A12" s="2" t="s">
        <v>21</v>
      </c>
      <c r="B12" s="2" t="s">
        <v>85</v>
      </c>
      <c r="C12" s="2" t="s">
        <v>86</v>
      </c>
      <c r="D12" s="2" t="s">
        <v>87</v>
      </c>
      <c r="E12" s="2" t="s">
        <v>88</v>
      </c>
      <c r="F12" s="2" t="s">
        <v>89</v>
      </c>
      <c r="G12" s="2" t="s">
        <v>90</v>
      </c>
      <c r="H12" s="2" t="s">
        <v>91</v>
      </c>
      <c r="I12" s="2" t="s">
        <v>92</v>
      </c>
      <c r="J12" s="2" t="s">
        <v>93</v>
      </c>
      <c r="L12" s="60" t="s">
        <v>94</v>
      </c>
      <c r="M12" s="60"/>
      <c r="N12" s="1"/>
      <c r="O12" s="61">
        <f>SUMPRODUCT(J13:J22,I13:I22,H13:H22)</f>
        <v>30.789860263974674</v>
      </c>
    </row>
    <row r="13" spans="1:15" ht="15.75" customHeight="1">
      <c r="A13" s="62">
        <v>1</v>
      </c>
      <c r="B13" s="62">
        <v>50</v>
      </c>
      <c r="C13" s="22">
        <v>45</v>
      </c>
      <c r="D13" s="63">
        <f>VLOOKUP(B13,'AM92'!$A$5:$D$108,2,0)</f>
        <v>1.9710000000000001E-3</v>
      </c>
      <c r="E13" s="63">
        <f>VLOOKUP(C13,'AM92'!$A$5:$D$108,2,0)</f>
        <v>1.201E-3</v>
      </c>
      <c r="F13" s="63">
        <f>1</f>
        <v>1</v>
      </c>
      <c r="G13" s="63">
        <v>1</v>
      </c>
      <c r="H13" s="63">
        <f t="shared" ref="H13:H22" si="0">F13*G13*(1-(1-D13)*(1-E13))</f>
        <v>3.1696328289999576E-3</v>
      </c>
      <c r="I13" s="63">
        <f t="shared" ref="I13:I22" si="1">+(1+$D$4)^-(A13)</f>
        <v>0.93023255813953487</v>
      </c>
      <c r="J13" s="61">
        <f>$D$6</f>
        <v>1000</v>
      </c>
      <c r="N13" s="58"/>
    </row>
    <row r="14" spans="1:15">
      <c r="A14" s="62">
        <v>2</v>
      </c>
      <c r="B14" s="62">
        <f t="shared" ref="B14:B22" si="2">+B13+1</f>
        <v>51</v>
      </c>
      <c r="C14" s="62">
        <f t="shared" ref="C14:C22" si="3">+C13+1</f>
        <v>46</v>
      </c>
      <c r="D14" s="63">
        <f>VLOOKUP(B14,'AM92'!$A$5:$D$108,3,0)</f>
        <v>2.7320000000000001E-3</v>
      </c>
      <c r="E14" s="63">
        <f>VLOOKUP(C14,'AM92'!$A$5:$D$108,3,0)</f>
        <v>1.557E-3</v>
      </c>
      <c r="F14" s="63">
        <f>+(1-D13)</f>
        <v>0.99802900000000005</v>
      </c>
      <c r="G14" s="63">
        <f>+(1-E13)</f>
        <v>0.99879899999999999</v>
      </c>
      <c r="H14" s="63">
        <f t="shared" si="0"/>
        <v>4.2711652035396066E-3</v>
      </c>
      <c r="I14" s="63">
        <f t="shared" si="1"/>
        <v>0.86533261222282321</v>
      </c>
      <c r="J14" s="61">
        <f>$D$6</f>
        <v>1000</v>
      </c>
    </row>
    <row r="15" spans="1:15">
      <c r="A15" s="62">
        <v>3</v>
      </c>
      <c r="B15" s="62">
        <f t="shared" si="2"/>
        <v>52</v>
      </c>
      <c r="C15" s="62">
        <f t="shared" si="3"/>
        <v>47</v>
      </c>
      <c r="D15" s="63">
        <f>VLOOKUP(B15,'AM92'!$A$5:$D$108,4,0)</f>
        <v>3.1519999999999999E-3</v>
      </c>
      <c r="E15" s="63">
        <f>VLOOKUP(C15,'AM92'!$A$5:$D$108,4,0)</f>
        <v>1.802E-3</v>
      </c>
      <c r="F15" s="63">
        <f t="shared" ref="F15:G22" si="4">+(1-D14)*F14</f>
        <v>0.99530238477200006</v>
      </c>
      <c r="G15" s="63">
        <f t="shared" si="4"/>
        <v>0.99724386995699998</v>
      </c>
      <c r="H15" s="63">
        <f t="shared" si="0"/>
        <v>4.9115006455652992E-3</v>
      </c>
      <c r="I15" s="63">
        <f t="shared" si="1"/>
        <v>0.80496056950960304</v>
      </c>
      <c r="J15" s="61">
        <f>$D$6</f>
        <v>1000</v>
      </c>
    </row>
    <row r="16" spans="1:15">
      <c r="A16" s="62">
        <v>4</v>
      </c>
      <c r="B16" s="62">
        <f t="shared" si="2"/>
        <v>53</v>
      </c>
      <c r="C16" s="62">
        <f t="shared" si="3"/>
        <v>48</v>
      </c>
      <c r="D16" s="63">
        <f>VLOOKUP(B16,'AM92'!$A$5:$D$108,4,0)</f>
        <v>3.539E-3</v>
      </c>
      <c r="E16" s="63">
        <f>VLOOKUP(C16,'AM92'!$A$5:$D$108,4,0)</f>
        <v>2.0079999999999998E-3</v>
      </c>
      <c r="F16" s="63">
        <f t="shared" si="4"/>
        <v>0.99216519165519867</v>
      </c>
      <c r="G16" s="63">
        <f t="shared" si="4"/>
        <v>0.99544683650333754</v>
      </c>
      <c r="H16" s="63">
        <f t="shared" si="0"/>
        <v>5.4714632665208845E-3</v>
      </c>
      <c r="I16" s="63">
        <f t="shared" si="1"/>
        <v>0.7488005297763749</v>
      </c>
      <c r="J16" s="61">
        <f>$D$6</f>
        <v>1000</v>
      </c>
    </row>
    <row r="17" spans="1:16">
      <c r="A17" s="62">
        <v>5</v>
      </c>
      <c r="B17" s="62">
        <f t="shared" si="2"/>
        <v>54</v>
      </c>
      <c r="C17" s="62">
        <f t="shared" si="3"/>
        <v>49</v>
      </c>
      <c r="D17" s="63">
        <f>VLOOKUP(B17,'AM92'!$A$5:$D$108,4,0)</f>
        <v>3.9760000000000004E-3</v>
      </c>
      <c r="E17" s="63">
        <f>VLOOKUP(C17,'AM92'!$A$5:$D$108,4,0)</f>
        <v>2.2409999999999999E-3</v>
      </c>
      <c r="F17" s="63">
        <f t="shared" si="4"/>
        <v>0.98865391904193101</v>
      </c>
      <c r="G17" s="63">
        <f t="shared" si="4"/>
        <v>0.99344797925563888</v>
      </c>
      <c r="H17" s="63">
        <f t="shared" si="0"/>
        <v>6.0974382695591252E-3</v>
      </c>
      <c r="I17" s="63">
        <f t="shared" si="1"/>
        <v>0.69655863235011617</v>
      </c>
      <c r="J17" s="61">
        <f>$D$6</f>
        <v>1000</v>
      </c>
    </row>
    <row r="18" spans="1:16">
      <c r="A18" s="62">
        <v>6</v>
      </c>
      <c r="B18" s="62">
        <f t="shared" si="2"/>
        <v>55</v>
      </c>
      <c r="C18" s="62">
        <f t="shared" si="3"/>
        <v>50</v>
      </c>
      <c r="D18" s="63">
        <f>VLOOKUP(B18,'AM92'!$A$5:$D$108,4,0)</f>
        <v>4.4689999999999999E-3</v>
      </c>
      <c r="E18" s="63">
        <f>VLOOKUP(C18,'AM92'!$A$5:$D$108,4,0)</f>
        <v>2.5079999999999998E-3</v>
      </c>
      <c r="F18" s="63">
        <f t="shared" si="4"/>
        <v>0.98472303105982029</v>
      </c>
      <c r="G18" s="63">
        <f t="shared" si="4"/>
        <v>0.9912216623341269</v>
      </c>
      <c r="H18" s="63">
        <f t="shared" si="0"/>
        <v>6.7991616489457155E-3</v>
      </c>
      <c r="I18" s="63">
        <f t="shared" si="1"/>
        <v>0.64796151846522443</v>
      </c>
      <c r="J18" s="64">
        <f>$D$6*D7</f>
        <v>500</v>
      </c>
    </row>
    <row r="19" spans="1:16">
      <c r="A19" s="62">
        <v>7</v>
      </c>
      <c r="B19" s="62">
        <f t="shared" si="2"/>
        <v>56</v>
      </c>
      <c r="C19" s="62">
        <f t="shared" si="3"/>
        <v>51</v>
      </c>
      <c r="D19" s="63">
        <f>VLOOKUP(B19,'AM92'!$A$5:$D$108,4,0)</f>
        <v>5.025E-3</v>
      </c>
      <c r="E19" s="63">
        <f>VLOOKUP(C19,'AM92'!$A$5:$D$108,4,0)</f>
        <v>2.8089999999999999E-3</v>
      </c>
      <c r="F19" s="63">
        <f t="shared" si="4"/>
        <v>0.98032230383401397</v>
      </c>
      <c r="G19" s="63">
        <f t="shared" si="4"/>
        <v>0.98873567840499299</v>
      </c>
      <c r="H19" s="63">
        <f t="shared" si="0"/>
        <v>7.5796550849839689E-3</v>
      </c>
      <c r="I19" s="63">
        <f t="shared" si="1"/>
        <v>0.60275490089788319</v>
      </c>
      <c r="J19" s="61">
        <f>J18</f>
        <v>500</v>
      </c>
    </row>
    <row r="20" spans="1:16">
      <c r="A20" s="62">
        <v>8</v>
      </c>
      <c r="B20" s="62">
        <f t="shared" si="2"/>
        <v>57</v>
      </c>
      <c r="C20" s="62">
        <f t="shared" si="3"/>
        <v>52</v>
      </c>
      <c r="D20" s="63">
        <f>VLOOKUP(B20,'AM92'!$A$5:$D$108,4,0)</f>
        <v>5.6499999999999996E-3</v>
      </c>
      <c r="E20" s="63">
        <f>VLOOKUP(C20,'AM92'!$A$5:$D$108,4,0)</f>
        <v>3.1519999999999999E-3</v>
      </c>
      <c r="F20" s="63">
        <f t="shared" si="4"/>
        <v>0.97539618425724806</v>
      </c>
      <c r="G20" s="63">
        <f t="shared" si="4"/>
        <v>0.98595831988435345</v>
      </c>
      <c r="H20" s="63">
        <f t="shared" si="0"/>
        <v>8.4477565281645874E-3</v>
      </c>
      <c r="I20" s="63">
        <f t="shared" si="1"/>
        <v>0.56070223339337966</v>
      </c>
      <c r="J20" s="61">
        <f>J19</f>
        <v>500</v>
      </c>
    </row>
    <row r="21" spans="1:16">
      <c r="A21" s="62">
        <v>9</v>
      </c>
      <c r="B21" s="62">
        <f t="shared" si="2"/>
        <v>58</v>
      </c>
      <c r="C21" s="62">
        <f t="shared" si="3"/>
        <v>53</v>
      </c>
      <c r="D21" s="63">
        <f>VLOOKUP(B21,'AM92'!$A$5:$D$108,4,0)</f>
        <v>6.352E-3</v>
      </c>
      <c r="E21" s="63">
        <f>VLOOKUP(C21,'AM92'!$A$5:$D$108,4,0)</f>
        <v>3.539E-3</v>
      </c>
      <c r="F21" s="63">
        <f t="shared" si="4"/>
        <v>0.96988519581619459</v>
      </c>
      <c r="G21" s="63">
        <f t="shared" si="4"/>
        <v>0.98285057926007791</v>
      </c>
      <c r="H21" s="63">
        <f t="shared" si="0"/>
        <v>9.4071889217785011E-3</v>
      </c>
      <c r="I21" s="63">
        <f t="shared" si="1"/>
        <v>0.52158347292407414</v>
      </c>
      <c r="J21" s="61">
        <f>J20</f>
        <v>500</v>
      </c>
    </row>
    <row r="22" spans="1:16">
      <c r="A22" s="62">
        <v>10</v>
      </c>
      <c r="B22" s="62">
        <f t="shared" si="2"/>
        <v>59</v>
      </c>
      <c r="C22" s="62">
        <f t="shared" si="3"/>
        <v>54</v>
      </c>
      <c r="D22" s="63">
        <f>VLOOKUP(B22,'AM92'!$A$5:$D$108,4,0)</f>
        <v>7.1399999999999996E-3</v>
      </c>
      <c r="E22" s="63">
        <f>VLOOKUP(C22,'AM92'!$A$5:$D$108,4,0)</f>
        <v>3.9760000000000004E-3</v>
      </c>
      <c r="F22" s="63">
        <f t="shared" si="4"/>
        <v>0.96372448505237007</v>
      </c>
      <c r="G22" s="63">
        <f t="shared" si="4"/>
        <v>0.97937227106007652</v>
      </c>
      <c r="H22" s="63">
        <f t="shared" si="0"/>
        <v>1.0464986960994951E-2</v>
      </c>
      <c r="I22" s="63">
        <f t="shared" si="1"/>
        <v>0.48519392830146441</v>
      </c>
      <c r="J22" s="61">
        <f>J21</f>
        <v>500</v>
      </c>
    </row>
    <row r="23" spans="1:16">
      <c r="A23" s="45"/>
      <c r="B23" s="65"/>
      <c r="C23" s="45"/>
      <c r="D23" s="48"/>
      <c r="E23" s="48"/>
      <c r="F23" s="66"/>
      <c r="G23" s="66"/>
      <c r="H23" s="67"/>
      <c r="I23" s="65"/>
      <c r="J23" s="68"/>
      <c r="K23" s="65"/>
      <c r="M23" s="69"/>
      <c r="N23" s="70"/>
      <c r="O23" s="65"/>
    </row>
    <row r="25" spans="1:16" ht="33.75" customHeight="1">
      <c r="A25" s="15" t="s">
        <v>95</v>
      </c>
      <c r="B25" s="15"/>
      <c r="C25" s="15"/>
      <c r="M25" s="15"/>
      <c r="N25" s="15"/>
      <c r="O25" s="15"/>
    </row>
    <row r="26" spans="1:16" ht="16.5" customHeight="1">
      <c r="A26" s="15"/>
      <c r="B26" s="15"/>
      <c r="C26" s="15"/>
      <c r="M26" s="15"/>
      <c r="N26" s="15"/>
      <c r="O26" s="15"/>
    </row>
    <row r="27" spans="1:16" ht="15.75" customHeight="1">
      <c r="A27" s="81" t="s">
        <v>96</v>
      </c>
      <c r="B27" s="81"/>
      <c r="C27" s="81"/>
      <c r="D27" s="47">
        <f>(1+D4)^2-1</f>
        <v>0.1556249999999999</v>
      </c>
      <c r="E27" s="58"/>
      <c r="F27" s="45"/>
      <c r="G27" s="45"/>
      <c r="H27" s="45"/>
      <c r="I27" s="45"/>
      <c r="J27" s="45"/>
      <c r="N27" s="45"/>
      <c r="O27" s="48"/>
    </row>
    <row r="28" spans="1:16" s="59" customFormat="1" ht="15.75" customHeight="1">
      <c r="A28" s="57"/>
      <c r="B28" s="57"/>
      <c r="C28" s="58"/>
      <c r="D28" s="58"/>
      <c r="E28" s="58"/>
      <c r="F28" s="58"/>
      <c r="G28" s="58"/>
      <c r="H28" s="58"/>
      <c r="I28" s="58"/>
      <c r="J28" s="58"/>
      <c r="N28" s="58"/>
    </row>
    <row r="29" spans="1:16" ht="30" customHeight="1">
      <c r="A29" s="2" t="s">
        <v>21</v>
      </c>
      <c r="B29" s="2" t="s">
        <v>85</v>
      </c>
      <c r="C29" s="2" t="s">
        <v>86</v>
      </c>
      <c r="D29" s="2" t="s">
        <v>87</v>
      </c>
      <c r="E29" s="2" t="s">
        <v>88</v>
      </c>
      <c r="F29" s="2" t="s">
        <v>89</v>
      </c>
      <c r="G29" s="2" t="s">
        <v>90</v>
      </c>
      <c r="H29" s="2" t="s">
        <v>91</v>
      </c>
      <c r="I29" s="2" t="s">
        <v>97</v>
      </c>
      <c r="J29" s="2" t="s">
        <v>98</v>
      </c>
      <c r="L29" s="60" t="s">
        <v>99</v>
      </c>
      <c r="M29" s="60"/>
      <c r="N29" s="1"/>
      <c r="O29" s="61">
        <f>SUMPRODUCT(J30:J39,I30:I39,H30:H39)</f>
        <v>18471.584174608273</v>
      </c>
      <c r="P29" s="71"/>
    </row>
    <row r="30" spans="1:16" ht="15.75" customHeight="1">
      <c r="A30" s="62">
        <v>1</v>
      </c>
      <c r="B30" s="62">
        <v>50</v>
      </c>
      <c r="C30">
        <v>45</v>
      </c>
      <c r="D30" s="63">
        <f>VLOOKUP(B30,'AM92'!$A$5:$D$108,2,0)</f>
        <v>1.9710000000000001E-3</v>
      </c>
      <c r="E30" s="63">
        <f>VLOOKUP(C30,'AM92'!$A$5:$D$108,2,0)</f>
        <v>1.201E-3</v>
      </c>
      <c r="F30" s="63">
        <f>1</f>
        <v>1</v>
      </c>
      <c r="G30" s="63">
        <v>1</v>
      </c>
      <c r="H30" s="63">
        <f t="shared" ref="H30:H39" si="5">F30*G30*(1-(1-D30)*(1-E30))</f>
        <v>3.1696328289999576E-3</v>
      </c>
      <c r="I30" s="63">
        <f t="shared" ref="I30:I39" si="6">+(1+$D$27)^-(A30)</f>
        <v>0.86533261222282321</v>
      </c>
      <c r="J30" s="61">
        <f t="shared" ref="J30:J39" si="7">J13^2</f>
        <v>1000000</v>
      </c>
      <c r="N30" s="58"/>
    </row>
    <row r="31" spans="1:16" ht="15.75" customHeight="1">
      <c r="A31" s="62">
        <v>2</v>
      </c>
      <c r="B31" s="62">
        <f t="shared" ref="B31:B39" si="8">+B30+1</f>
        <v>51</v>
      </c>
      <c r="C31" s="62">
        <f t="shared" ref="C31:C39" si="9">+C30+1</f>
        <v>46</v>
      </c>
      <c r="D31" s="63">
        <f>VLOOKUP(B31,'AM92'!$A$5:$D$108,3,0)</f>
        <v>2.7320000000000001E-3</v>
      </c>
      <c r="E31" s="63">
        <f>VLOOKUP(C31,'AM92'!$A$5:$D$108,3,0)</f>
        <v>1.557E-3</v>
      </c>
      <c r="F31" s="63">
        <f>+(1-D30)</f>
        <v>0.99802900000000005</v>
      </c>
      <c r="G31" s="63">
        <f>+(1-E30)</f>
        <v>0.99879899999999999</v>
      </c>
      <c r="H31" s="63">
        <f t="shared" si="5"/>
        <v>4.2711652035396066E-3</v>
      </c>
      <c r="I31" s="63">
        <f t="shared" si="6"/>
        <v>0.7488005297763749</v>
      </c>
      <c r="J31" s="61">
        <f t="shared" si="7"/>
        <v>1000000</v>
      </c>
      <c r="L31" s="80" t="s">
        <v>100</v>
      </c>
      <c r="M31" s="80"/>
      <c r="N31" s="80"/>
      <c r="O31" s="61">
        <f>O29-O12^2</f>
        <v>17523.568679533186</v>
      </c>
      <c r="P31" s="71"/>
    </row>
    <row r="32" spans="1:16">
      <c r="A32" s="62">
        <v>3</v>
      </c>
      <c r="B32" s="62">
        <f t="shared" si="8"/>
        <v>52</v>
      </c>
      <c r="C32" s="62">
        <f t="shared" si="9"/>
        <v>47</v>
      </c>
      <c r="D32" s="63">
        <f>VLOOKUP(B32,'AM92'!$A$5:$D$108,4,0)</f>
        <v>3.1519999999999999E-3</v>
      </c>
      <c r="E32" s="63">
        <f>VLOOKUP(C32,'AM92'!$A$5:$D$108,4,0)</f>
        <v>1.802E-3</v>
      </c>
      <c r="F32" s="63">
        <f t="shared" ref="F32:G39" si="10">+(1-D31)*F31</f>
        <v>0.99530238477200006</v>
      </c>
      <c r="G32" s="63">
        <f t="shared" si="10"/>
        <v>0.99724386995699998</v>
      </c>
      <c r="H32" s="63">
        <f t="shared" si="5"/>
        <v>4.9115006455652992E-3</v>
      </c>
      <c r="I32" s="63">
        <f t="shared" si="6"/>
        <v>0.64796151846522443</v>
      </c>
      <c r="J32" s="61">
        <f t="shared" si="7"/>
        <v>1000000</v>
      </c>
    </row>
    <row r="33" spans="1:10">
      <c r="A33" s="62">
        <v>4</v>
      </c>
      <c r="B33" s="62">
        <f t="shared" si="8"/>
        <v>53</v>
      </c>
      <c r="C33" s="62">
        <f t="shared" si="9"/>
        <v>48</v>
      </c>
      <c r="D33" s="63">
        <f>VLOOKUP(B33,'AM92'!$A$5:$D$108,4,0)</f>
        <v>3.539E-3</v>
      </c>
      <c r="E33" s="63">
        <f>VLOOKUP(C33,'AM92'!$A$5:$D$108,4,0)</f>
        <v>2.0079999999999998E-3</v>
      </c>
      <c r="F33" s="63">
        <f t="shared" si="10"/>
        <v>0.99216519165519867</v>
      </c>
      <c r="G33" s="63">
        <f t="shared" si="10"/>
        <v>0.99544683650333754</v>
      </c>
      <c r="H33" s="63">
        <f t="shared" si="5"/>
        <v>5.4714632665208845E-3</v>
      </c>
      <c r="I33" s="63">
        <f t="shared" si="6"/>
        <v>0.56070223339337966</v>
      </c>
      <c r="J33" s="61">
        <f t="shared" si="7"/>
        <v>1000000</v>
      </c>
    </row>
    <row r="34" spans="1:10">
      <c r="A34" s="62">
        <v>5</v>
      </c>
      <c r="B34" s="62">
        <f t="shared" si="8"/>
        <v>54</v>
      </c>
      <c r="C34" s="62">
        <f t="shared" si="9"/>
        <v>49</v>
      </c>
      <c r="D34" s="63">
        <f>VLOOKUP(B34,'AM92'!$A$5:$D$108,4,0)</f>
        <v>3.9760000000000004E-3</v>
      </c>
      <c r="E34" s="63">
        <f>VLOOKUP(C34,'AM92'!$A$5:$D$108,4,0)</f>
        <v>2.2409999999999999E-3</v>
      </c>
      <c r="F34" s="63">
        <f t="shared" si="10"/>
        <v>0.98865391904193101</v>
      </c>
      <c r="G34" s="63">
        <f t="shared" si="10"/>
        <v>0.99344797925563888</v>
      </c>
      <c r="H34" s="63">
        <f t="shared" si="5"/>
        <v>6.0974382695591252E-3</v>
      </c>
      <c r="I34" s="63">
        <f t="shared" si="6"/>
        <v>0.48519392830146441</v>
      </c>
      <c r="J34" s="61">
        <f t="shared" si="7"/>
        <v>1000000</v>
      </c>
    </row>
    <row r="35" spans="1:10">
      <c r="A35" s="62">
        <v>6</v>
      </c>
      <c r="B35" s="62">
        <f t="shared" si="8"/>
        <v>55</v>
      </c>
      <c r="C35" s="62">
        <f t="shared" si="9"/>
        <v>50</v>
      </c>
      <c r="D35" s="63">
        <f>VLOOKUP(B35,'AM92'!$A$5:$D$108,4,0)</f>
        <v>4.4689999999999999E-3</v>
      </c>
      <c r="E35" s="63">
        <f>VLOOKUP(C35,'AM92'!$A$5:$D$108,4,0)</f>
        <v>2.5079999999999998E-3</v>
      </c>
      <c r="F35" s="63">
        <f t="shared" si="10"/>
        <v>0.98472303105982029</v>
      </c>
      <c r="G35" s="63">
        <f t="shared" si="10"/>
        <v>0.9912216623341269</v>
      </c>
      <c r="H35" s="63">
        <f t="shared" si="5"/>
        <v>6.7991616489457155E-3</v>
      </c>
      <c r="I35" s="63">
        <f t="shared" si="6"/>
        <v>0.41985412941175931</v>
      </c>
      <c r="J35" s="61">
        <f t="shared" si="7"/>
        <v>250000</v>
      </c>
    </row>
    <row r="36" spans="1:10">
      <c r="A36" s="62">
        <v>7</v>
      </c>
      <c r="B36" s="62">
        <f t="shared" si="8"/>
        <v>56</v>
      </c>
      <c r="C36" s="62">
        <f t="shared" si="9"/>
        <v>51</v>
      </c>
      <c r="D36" s="63">
        <f>VLOOKUP(B36,'AM92'!$A$5:$D$108,4,0)</f>
        <v>5.025E-3</v>
      </c>
      <c r="E36" s="63">
        <f>VLOOKUP(C36,'AM92'!$A$5:$D$108,4,0)</f>
        <v>2.8089999999999999E-3</v>
      </c>
      <c r="F36" s="63">
        <f t="shared" si="10"/>
        <v>0.98032230383401397</v>
      </c>
      <c r="G36" s="63">
        <f t="shared" si="10"/>
        <v>0.98873567840499299</v>
      </c>
      <c r="H36" s="63">
        <f t="shared" si="5"/>
        <v>7.5796550849839689E-3</v>
      </c>
      <c r="I36" s="63">
        <f t="shared" si="6"/>
        <v>0.36331347055641694</v>
      </c>
      <c r="J36" s="61">
        <f t="shared" si="7"/>
        <v>250000</v>
      </c>
    </row>
    <row r="37" spans="1:10">
      <c r="A37" s="62">
        <v>8</v>
      </c>
      <c r="B37" s="62">
        <f t="shared" si="8"/>
        <v>57</v>
      </c>
      <c r="C37" s="62">
        <f t="shared" si="9"/>
        <v>52</v>
      </c>
      <c r="D37" s="63">
        <f>VLOOKUP(B37,'AM92'!$A$5:$D$108,4,0)</f>
        <v>5.6499999999999996E-3</v>
      </c>
      <c r="E37" s="63">
        <f>VLOOKUP(C37,'AM92'!$A$5:$D$108,4,0)</f>
        <v>3.1519999999999999E-3</v>
      </c>
      <c r="F37" s="63">
        <f t="shared" si="10"/>
        <v>0.97539618425724806</v>
      </c>
      <c r="G37" s="63">
        <f t="shared" si="10"/>
        <v>0.98595831988435345</v>
      </c>
      <c r="H37" s="63">
        <f t="shared" si="5"/>
        <v>8.4477565281645874E-3</v>
      </c>
      <c r="I37" s="63">
        <f t="shared" si="6"/>
        <v>0.31438699453232405</v>
      </c>
      <c r="J37" s="61">
        <f t="shared" si="7"/>
        <v>250000</v>
      </c>
    </row>
    <row r="38" spans="1:10">
      <c r="A38" s="62">
        <v>9</v>
      </c>
      <c r="B38" s="62">
        <f t="shared" si="8"/>
        <v>58</v>
      </c>
      <c r="C38" s="62">
        <f t="shared" si="9"/>
        <v>53</v>
      </c>
      <c r="D38" s="63">
        <f>VLOOKUP(B38,'AM92'!$A$5:$D$108,4,0)</f>
        <v>6.352E-3</v>
      </c>
      <c r="E38" s="63">
        <f>VLOOKUP(C38,'AM92'!$A$5:$D$108,4,0)</f>
        <v>3.539E-3</v>
      </c>
      <c r="F38" s="63">
        <f t="shared" si="10"/>
        <v>0.96988519581619459</v>
      </c>
      <c r="G38" s="63">
        <f t="shared" si="10"/>
        <v>0.98285057926007791</v>
      </c>
      <c r="H38" s="63">
        <f t="shared" si="5"/>
        <v>9.4071889217785011E-3</v>
      </c>
      <c r="I38" s="63">
        <f t="shared" si="6"/>
        <v>0.27204931922753844</v>
      </c>
      <c r="J38" s="61">
        <f t="shared" si="7"/>
        <v>250000</v>
      </c>
    </row>
    <row r="39" spans="1:10">
      <c r="A39" s="62">
        <v>10</v>
      </c>
      <c r="B39" s="62">
        <f t="shared" si="8"/>
        <v>59</v>
      </c>
      <c r="C39" s="62">
        <f t="shared" si="9"/>
        <v>54</v>
      </c>
      <c r="D39" s="63">
        <f>VLOOKUP(B39,'AM92'!$A$5:$D$108,4,0)</f>
        <v>7.1399999999999996E-3</v>
      </c>
      <c r="E39" s="63">
        <f>VLOOKUP(C39,'AM92'!$A$5:$D$108,4,0)</f>
        <v>3.9760000000000004E-3</v>
      </c>
      <c r="F39" s="63">
        <f t="shared" si="10"/>
        <v>0.96372448505237007</v>
      </c>
      <c r="G39" s="63">
        <f t="shared" si="10"/>
        <v>0.97937227106007652</v>
      </c>
      <c r="H39" s="63">
        <f t="shared" si="5"/>
        <v>1.0464986960994951E-2</v>
      </c>
      <c r="I39" s="63">
        <f t="shared" si="6"/>
        <v>0.23541314806060654</v>
      </c>
      <c r="J39" s="61">
        <f t="shared" si="7"/>
        <v>250000</v>
      </c>
    </row>
    <row r="42" spans="1:10" ht="33.75" customHeight="1">
      <c r="A42" s="15" t="s">
        <v>101</v>
      </c>
      <c r="B42" s="15"/>
      <c r="C42" s="15"/>
    </row>
    <row r="44" spans="1:10" ht="15" customHeight="1">
      <c r="B44" s="85" t="s">
        <v>102</v>
      </c>
      <c r="C44" s="85"/>
      <c r="D44" s="85"/>
      <c r="E44" s="85"/>
      <c r="F44" s="85"/>
      <c r="G44" s="85"/>
      <c r="H44" s="85"/>
      <c r="I44" s="85"/>
      <c r="J44" s="85"/>
    </row>
    <row r="45" spans="1:10">
      <c r="B45" s="85"/>
      <c r="C45" s="85"/>
      <c r="D45" s="85"/>
      <c r="E45" s="85"/>
      <c r="F45" s="85"/>
      <c r="G45" s="85"/>
      <c r="H45" s="85"/>
      <c r="I45" s="85"/>
      <c r="J45" s="85"/>
    </row>
    <row r="46" spans="1:10">
      <c r="B46" s="85"/>
      <c r="C46" s="85"/>
      <c r="D46" s="85"/>
      <c r="E46" s="85"/>
      <c r="F46" s="85"/>
      <c r="G46" s="85"/>
      <c r="H46" s="85"/>
      <c r="I46" s="85"/>
      <c r="J46" s="85"/>
    </row>
    <row r="47" spans="1:10">
      <c r="B47" s="85"/>
      <c r="C47" s="85"/>
      <c r="D47" s="85"/>
      <c r="E47" s="85"/>
      <c r="F47" s="85"/>
      <c r="G47" s="85"/>
      <c r="H47" s="85"/>
      <c r="I47" s="85"/>
      <c r="J47" s="85"/>
    </row>
    <row r="48" spans="1:10">
      <c r="B48" s="85"/>
      <c r="C48" s="85"/>
      <c r="D48" s="85"/>
      <c r="E48" s="85"/>
      <c r="F48" s="85"/>
      <c r="G48" s="85"/>
      <c r="H48" s="85"/>
      <c r="I48" s="85"/>
      <c r="J48" s="85"/>
    </row>
    <row r="49" spans="1:10">
      <c r="B49" s="85"/>
      <c r="C49" s="85"/>
      <c r="D49" s="85"/>
      <c r="E49" s="85"/>
      <c r="F49" s="85"/>
      <c r="G49" s="85"/>
      <c r="H49" s="85"/>
      <c r="I49" s="85"/>
      <c r="J49" s="85"/>
    </row>
    <row r="52" spans="1:10" ht="33.75" customHeight="1">
      <c r="A52" s="15" t="s">
        <v>101</v>
      </c>
      <c r="B52" s="15"/>
      <c r="C52" s="15"/>
    </row>
    <row r="54" spans="1:10" ht="15" customHeight="1">
      <c r="B54" s="79" t="s">
        <v>103</v>
      </c>
      <c r="C54" s="79"/>
      <c r="D54" s="79"/>
      <c r="E54" s="79"/>
      <c r="F54" s="79"/>
      <c r="G54" s="79"/>
      <c r="H54" s="79"/>
      <c r="I54" s="79"/>
      <c r="J54" s="79"/>
    </row>
    <row r="55" spans="1:10">
      <c r="B55" s="79"/>
      <c r="C55" s="79"/>
      <c r="D55" s="79"/>
      <c r="E55" s="79"/>
      <c r="F55" s="79"/>
      <c r="G55" s="79"/>
      <c r="H55" s="79"/>
      <c r="I55" s="79"/>
      <c r="J55" s="79"/>
    </row>
    <row r="56" spans="1:10">
      <c r="B56" s="79"/>
      <c r="C56" s="79"/>
      <c r="D56" s="79"/>
      <c r="E56" s="79"/>
      <c r="F56" s="79"/>
      <c r="G56" s="79"/>
      <c r="H56" s="79"/>
      <c r="I56" s="79"/>
      <c r="J56" s="79"/>
    </row>
    <row r="57" spans="1:10">
      <c r="B57" s="79"/>
      <c r="C57" s="79"/>
      <c r="D57" s="79"/>
      <c r="E57" s="79"/>
      <c r="F57" s="79"/>
      <c r="G57" s="79"/>
      <c r="H57" s="79"/>
      <c r="I57" s="79"/>
      <c r="J57" s="79"/>
    </row>
    <row r="58" spans="1:10">
      <c r="B58" s="79"/>
      <c r="C58" s="79"/>
      <c r="D58" s="79"/>
      <c r="E58" s="79"/>
      <c r="F58" s="79"/>
      <c r="G58" s="79"/>
      <c r="H58" s="79"/>
      <c r="I58" s="79"/>
      <c r="J58" s="79"/>
    </row>
    <row r="59" spans="1:10">
      <c r="B59" s="79"/>
      <c r="C59" s="79"/>
      <c r="D59" s="79"/>
      <c r="E59" s="79"/>
      <c r="F59" s="79"/>
      <c r="G59" s="79"/>
      <c r="H59" s="79"/>
      <c r="I59" s="79"/>
      <c r="J59" s="79"/>
    </row>
  </sheetData>
  <mergeCells count="6">
    <mergeCell ref="B54:J59"/>
    <mergeCell ref="G1:I1"/>
    <mergeCell ref="J1:L1"/>
    <mergeCell ref="A27:C27"/>
    <mergeCell ref="L31:N31"/>
    <mergeCell ref="B44:J49"/>
  </mergeCells>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d2161b-6042-486a-ae80-a686226e8ade" xsi:nil="true"/>
    <lcf76f155ced4ddcb4097134ff3c332f xmlns="4973980f-dc49-4b73-885d-baabe04b529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CC2131EC6BC245BE80808FF2395D20" ma:contentTypeVersion="15" ma:contentTypeDescription="Create a new document." ma:contentTypeScope="" ma:versionID="5d4eb8f29921aba5e18a355b5b7a02be">
  <xsd:schema xmlns:xsd="http://www.w3.org/2001/XMLSchema" xmlns:xs="http://www.w3.org/2001/XMLSchema" xmlns:p="http://schemas.microsoft.com/office/2006/metadata/properties" xmlns:ns2="96d2161b-6042-486a-ae80-a686226e8ade" xmlns:ns3="4973980f-dc49-4b73-885d-baabe04b5290" targetNamespace="http://schemas.microsoft.com/office/2006/metadata/properties" ma:root="true" ma:fieldsID="ca3ce163b65f562dc6b7c72ae94e3333" ns2:_="" ns3:_="">
    <xsd:import namespace="96d2161b-6042-486a-ae80-a686226e8ade"/>
    <xsd:import namespace="4973980f-dc49-4b73-885d-baabe04b529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d2161b-6042-486a-ae80-a686226e8ad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db6a357-f029-49c2-bf43-a7a50e729ab6}" ma:internalName="TaxCatchAll" ma:showField="CatchAllData" ma:web="96d2161b-6042-486a-ae80-a686226e8ad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973980f-dc49-4b73-885d-baabe04b529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5ef5152-bb20-4323-97fa-b2191cfb060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12A9C3-1F1F-4BB8-9784-D87A74CD4E5B}"/>
</file>

<file path=customXml/itemProps2.xml><?xml version="1.0" encoding="utf-8"?>
<ds:datastoreItem xmlns:ds="http://schemas.openxmlformats.org/officeDocument/2006/customXml" ds:itemID="{34B32F0A-7A4C-468B-8131-D6D9528F6829}"/>
</file>

<file path=customXml/itemProps3.xml><?xml version="1.0" encoding="utf-8"?>
<ds:datastoreItem xmlns:ds="http://schemas.openxmlformats.org/officeDocument/2006/customXml" ds:itemID="{C3D6E1FF-890A-47F7-BA28-CC573451B9A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Bobbie Beukes</cp:lastModifiedBy>
  <cp:revision>0</cp:revision>
  <dcterms:created xsi:type="dcterms:W3CDTF">2026-04-14T14:10:56Z</dcterms:created>
  <dcterms:modified xsi:type="dcterms:W3CDTF">2026-06-19T18:47:05Z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0x01010005CC2131EC6BC245BE80808FF2395D20</vt:lpwstr>
  </property>
</Properties>
</file>